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01" firstSheet="12" activeTab="12"/>
  </bookViews>
  <sheets>
    <sheet name="Лист10" sheetId="1" state="hidden" r:id="rId1"/>
    <sheet name="Лист1" sheetId="2" state="hidden" r:id="rId2"/>
    <sheet name="Лист2" sheetId="3" state="hidden" r:id="rId3"/>
    <sheet name="Лист3" sheetId="4" state="hidden" r:id="rId4"/>
    <sheet name="С ЦГМ" sheetId="5" state="hidden" r:id="rId5"/>
    <sheet name="без ЦГМ" sheetId="6" state="hidden" r:id="rId6"/>
    <sheet name="ик.рамка ЦГМ 2017" sheetId="7" state="hidden" r:id="rId7"/>
    <sheet name="ик.рамка 2017 конст." sheetId="8" state="hidden" r:id="rId8"/>
    <sheet name="ик.рамка 2017 +ФР ЦГМ (13.23)" sheetId="9" state="hidden" r:id="rId9"/>
    <sheet name="ик.рамка 2017 +ФР ЦГМ (9.9)" sheetId="10" state="hidden" r:id="rId10"/>
    <sheet name="ик.рамка 2017+ФР ЦГМ (12.03) 5м" sheetId="11" state="hidden" r:id="rId11"/>
    <sheet name="ик.рамка 2017+ФР ЦГМ (12.03)" sheetId="12" state="hidden" r:id="rId12"/>
    <sheet name="ик.рамка 2024 " sheetId="13" r:id="rId13"/>
    <sheet name="ик.рамка 2023 (при цени 2022)" sheetId="14" state="hidden" r:id="rId14"/>
    <sheet name="ик.рамка 2022 -5%" sheetId="15" state="hidden" r:id="rId15"/>
    <sheet name="ик.рамка 2022-10%" sheetId="16" state="hidden" r:id="rId16"/>
    <sheet name="ик.рамка 2022-15%" sheetId="17" state="hidden" r:id="rId17"/>
    <sheet name="ик.рамка 2019-12млн регл" sheetId="18" state="hidden" r:id="rId18"/>
    <sheet name="Sheet2" sheetId="19" state="hidden" r:id="rId19"/>
    <sheet name="ик.рамка 2017 конст. (3)" sheetId="20" state="hidden" r:id="rId20"/>
    <sheet name="ик.рамка 2017 конст. (2)" sheetId="21" state="hidden" r:id="rId21"/>
    <sheet name="Sheet1" sheetId="22" state="hidden" r:id="rId22"/>
    <sheet name="ик.рамка 2022 (2)" sheetId="23" state="hidden" r:id="rId23"/>
    <sheet name="Лист4" sheetId="24" state="hidden" r:id="rId24"/>
    <sheet name="Sheet3" sheetId="25" state="hidden" r:id="rId25"/>
  </sheets>
  <definedNames>
    <definedName name="_xlnm.Print_Area" localSheetId="22">'ик.рамка 2022 (2)'!$A$1:$J$73</definedName>
    <definedName name="_xlnm.Print_Area" localSheetId="14">'ик.рамка 2022 -5%'!$A$1:$J$73</definedName>
    <definedName name="_xlnm.Print_Area" localSheetId="13">'ик.рамка 2023 (при цени 2022)'!$A$1:$J$71</definedName>
    <definedName name="_xlnm.Print_Area" localSheetId="12">'ик.рамка 2024 '!$A$1:$J$70</definedName>
    <definedName name="_xlnm.Print_Area" localSheetId="0">'Лист10'!$A$1:$J$52</definedName>
  </definedNames>
  <calcPr fullCalcOnLoad="1"/>
</workbook>
</file>

<file path=xl/sharedStrings.xml><?xml version="1.0" encoding="utf-8"?>
<sst xmlns="http://schemas.openxmlformats.org/spreadsheetml/2006/main" count="2464" uniqueCount="198">
  <si>
    <t>П О К А З А Т Е Л И</t>
  </si>
  <si>
    <t>Мярка</t>
  </si>
  <si>
    <t>А. Транспортна задача</t>
  </si>
  <si>
    <t>х.км</t>
  </si>
  <si>
    <t>"Столичен електротранспорт" ЕАД</t>
  </si>
  <si>
    <t>"Столичен автотранспорт" ЕАД</t>
  </si>
  <si>
    <t>"Еридантранс" ООД</t>
  </si>
  <si>
    <t>л.260</t>
  </si>
  <si>
    <t>"Метрополитен" - ЕАД</t>
  </si>
  <si>
    <t>х.лв.</t>
  </si>
  <si>
    <t>"Метрополитен" ЕАД</t>
  </si>
  <si>
    <t>лв.</t>
  </si>
  <si>
    <t xml:space="preserve">Г. Приходи </t>
  </si>
  <si>
    <t>Столична община</t>
  </si>
  <si>
    <t>разплащане на транспортна работа от бюджета на СО</t>
  </si>
  <si>
    <t>Държавен бюджет</t>
  </si>
  <si>
    <t>Общински транспортни оператори</t>
  </si>
  <si>
    <t xml:space="preserve">     </t>
  </si>
  <si>
    <t>"Център за градска мобилност" ЕАД</t>
  </si>
  <si>
    <t xml:space="preserve"> - приходи от продажби на превозни документи</t>
  </si>
  <si>
    <t xml:space="preserve">ИКОНОМИЧЕСКА  РАМКА  </t>
  </si>
  <si>
    <t>"Столичен автотранспорт" ЕАД - общо</t>
  </si>
  <si>
    <t>Компенсация за тарифно задължение съгласно Наредбата на СОС</t>
  </si>
  <si>
    <t>Компенсация за изпълнение на задължение-то по ОПП</t>
  </si>
  <si>
    <t>Разходи за дейността по изпълнение на ОПП</t>
  </si>
  <si>
    <t>Възнагражде-ние на операторите</t>
  </si>
  <si>
    <t>Възнагражде-ние на километър маршрутен пробег</t>
  </si>
  <si>
    <t>Компенсация за тарифно задължение съгласно Наредбата на СОС на километър маршрутен пробег</t>
  </si>
  <si>
    <t>Собствен приход на километър маршрутен пробег</t>
  </si>
  <si>
    <t>Компенсация за изпълнение на задължение-то по ОПП на километър маршрутен пробег</t>
  </si>
  <si>
    <t xml:space="preserve">   -компенсация съгл. Регламент (ЕО) № 1370/2007</t>
  </si>
  <si>
    <t>компенсации  за тарифно задължение от Столична община</t>
  </si>
  <si>
    <t>(вариант 1 - с приходи и разходи от Дирекция "Паркиране и мобилност")</t>
  </si>
  <si>
    <t>Б. Разходи за дейността</t>
  </si>
  <si>
    <t>В. Разходи за дейността на км</t>
  </si>
  <si>
    <t xml:space="preserve">"Столичен електротранспорт" ЕАД       </t>
  </si>
  <si>
    <t xml:space="preserve">"Метрополитен" ЕАД    </t>
  </si>
  <si>
    <t>Признати приходи от финансиране на километър маршрутен пробег</t>
  </si>
  <si>
    <t>Собствени приходи на общинските транспортни оператори</t>
  </si>
  <si>
    <t>Признати приходи от финансиране на общинските транспортни оператори</t>
  </si>
  <si>
    <t>Компенсация за тарифно задължение по Наредба на МС от 07.07.2015 г. на километър маршрутен пробег</t>
  </si>
  <si>
    <t xml:space="preserve">Компенсация за тарифно задължение по Наредба на МС от 07.07.2015 г. </t>
  </si>
  <si>
    <t xml:space="preserve"> - компенсации за тарифно задължение съгл. Наредба на МС от 07.07.2015 г.</t>
  </si>
  <si>
    <t>Д. Икономическа рамка на "ЦГМ" ЕАД</t>
  </si>
  <si>
    <t>Възнаграждение на "Център за градска мобилност" ЕАД по чл. 9.1.2 от Договора</t>
  </si>
  <si>
    <t xml:space="preserve">Общо разплащане на километър маршрутен пробег
</t>
  </si>
  <si>
    <t>"Столичен автотранспорт" ЕАД - договор за пряко възлагане</t>
  </si>
  <si>
    <t xml:space="preserve">"Столичен автотранспорт" ЕАД - договор за пряко възлагане   </t>
  </si>
  <si>
    <t xml:space="preserve">"Столичен автотранспорт" ЕАД - договор за пряко възлагане </t>
  </si>
  <si>
    <t>Забележка: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2015 г. може да бъде актуализирана от "Център за градска мобилност" ЕАД до 200 000 километра.</t>
  </si>
  <si>
    <t>ПРЕДСЕДАТЕЛ:</t>
  </si>
  <si>
    <t>/ЕЛЕН ГЕРДЖИКОВ/</t>
  </si>
  <si>
    <t>Възнаграждение на "Център за градска мобилност" ЕАД по чл. 9.1.1 от Договора -12.31%</t>
  </si>
  <si>
    <t>Приходи от кратковременен престой, наказателни паркинги и други услуги</t>
  </si>
  <si>
    <t xml:space="preserve">E. Компенсация за изпълнение на задължението по ОПП </t>
  </si>
  <si>
    <t>Разходи на "ЦГМ" ЕАД за осъществяване на възложените му дейности</t>
  </si>
  <si>
    <t>Разходи за дългосрочни заеми на дружеството, сключени с решение на СОС</t>
  </si>
  <si>
    <t>Разходи за цесии</t>
  </si>
  <si>
    <t>Средства за финансиране на транспортната задача с ДДС</t>
  </si>
  <si>
    <t>за дейността</t>
  </si>
  <si>
    <t>Разходи на ЦГМ с ДДС</t>
  </si>
  <si>
    <t>за заем</t>
  </si>
  <si>
    <t>за цесии</t>
  </si>
  <si>
    <t>Общо</t>
  </si>
  <si>
    <t>"Столичен автотранспорт" ЕАД - пакет 1</t>
  </si>
  <si>
    <t>"Карат С" АД - пакет 2</t>
  </si>
  <si>
    <t>"Еридантранс" ООД - л. 260</t>
  </si>
  <si>
    <t>Разходи на километър маршрутен пробег</t>
  </si>
  <si>
    <t xml:space="preserve">   -компенсация съгл. Наредба на МС от 07.07.2015 г.</t>
  </si>
  <si>
    <t>Разходи за дейността на частните оператори</t>
  </si>
  <si>
    <t>Разходи за дейността на вътрешните оператори</t>
  </si>
  <si>
    <t>Разплащане на частните оператори</t>
  </si>
  <si>
    <t>Разплащане на вътрешните оператори</t>
  </si>
  <si>
    <t>недостиг вътрешни оператори</t>
  </si>
  <si>
    <t>% за намаление на разходите</t>
  </si>
  <si>
    <t>2017 г.</t>
  </si>
  <si>
    <t>на обществения транспорт в Столична община за 2017 г.  - комисиона 13,27 %</t>
  </si>
  <si>
    <t>ПРОЕКТ!</t>
  </si>
  <si>
    <t>Забележка: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2017 г. може да бъде актуализирана от "Център за градска мобилност" ЕАД до 200 000 километра.</t>
  </si>
  <si>
    <t>Възнаграждение на "Център за градска мобилност" ЕАД по чл. 9.1.1 от Договора -13.27%</t>
  </si>
  <si>
    <t>Д. Недостиг</t>
  </si>
  <si>
    <t>1.Разходи на "ЦГМ" ЕАД за осъществяване на възложените му дейности</t>
  </si>
  <si>
    <t>2. Разходи за дългосрочни заеми на дружеството, сключени с решение на СОС</t>
  </si>
  <si>
    <t>I. Разходи на "Център за градска мобилност" ЕАД</t>
  </si>
  <si>
    <t xml:space="preserve"> Икономическа рамка на "ЦГМ" ЕАД
 за 2017 година</t>
  </si>
  <si>
    <t>П О К А З АТ Е Л И</t>
  </si>
  <si>
    <t>II. Приходи на "Център за градска мобилност" ЕАД</t>
  </si>
  <si>
    <t>1. Възнаграждение на  "Център за градска мобилност" ЕАД</t>
  </si>
  <si>
    <t xml:space="preserve"> Възнаграждение на "Център за градска мобилност" ЕАД по чл. 9.1.1 
от Договора -13.27%</t>
  </si>
  <si>
    <t xml:space="preserve"> Възнаграждение на "Център за градска мобилност" ЕАД по чл. 9.1.2 
от Договора</t>
  </si>
  <si>
    <t>2. Приходи от кратковременен престой, наказателни паркинги и други услуги</t>
  </si>
  <si>
    <t>Забележка: 1.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2017 г. може да бъде актуализирана от "Център за градска мобилност" ЕАД до 200 000 километра. 
                    2. След подписване на допълнително споразумение за удължаване на срока на Договор № РД-56-3928/03.11.2008 г. съгласно Решение № 361 от 22.06.2017 г. на Столичния общински съвет, икономическата рамка за 2017 г. ще бъде актуализирана в съответствие с договорените параметри.</t>
  </si>
  <si>
    <t xml:space="preserve">на обществения транспорт в Столична община за 2017 г.  </t>
  </si>
  <si>
    <t>"Столичен автотранспорт" ЕАД/MTK - пакет 1</t>
  </si>
  <si>
    <t>Kомисионна за "Център за градска мобилност" ЕАД - 13,27 %</t>
  </si>
  <si>
    <t>3.56/3.00</t>
  </si>
  <si>
    <t xml:space="preserve">Христиан Петров </t>
  </si>
  <si>
    <t>Слав Монов</t>
  </si>
  <si>
    <t>Изпълнителен директор на "Център за градска мобилност" ЕАД</t>
  </si>
  <si>
    <t>Изпълнителен директор на "Столичен Автотранспорт" ЕАД</t>
  </si>
  <si>
    <t>Евгений Ганчев</t>
  </si>
  <si>
    <t>Изпълнителен директор на "Столичен Електротранспорт" ЕАД</t>
  </si>
  <si>
    <t>Стоян Братоев</t>
  </si>
  <si>
    <t>Изпълнителен директор на "Метрополитен" ЕАД</t>
  </si>
  <si>
    <t>Разлика</t>
  </si>
  <si>
    <t>Изпълнение на ИР към 31.08.2017</t>
  </si>
  <si>
    <t>Параметри на ИР за периода януари-август</t>
  </si>
  <si>
    <t>м.09 с+р</t>
  </si>
  <si>
    <t>Параметри на ИР на Метрополитен за периода януари-август</t>
  </si>
  <si>
    <t>Приходи</t>
  </si>
  <si>
    <t>Разходи</t>
  </si>
  <si>
    <t>Параметри на ИР на Метрополитен за периода януари-декември</t>
  </si>
  <si>
    <t>Прогнозни приходи за периода 09-12</t>
  </si>
  <si>
    <t>материали</t>
  </si>
  <si>
    <t>услуги</t>
  </si>
  <si>
    <t>персонал</t>
  </si>
  <si>
    <t>други</t>
  </si>
  <si>
    <t>амортизации</t>
  </si>
  <si>
    <t xml:space="preserve">на обществения транспорт в Столична община за 2018 г.  </t>
  </si>
  <si>
    <t>Kомисионна за "Център за градска мобилност" ЕАД - 13,23 %</t>
  </si>
  <si>
    <t>"MTK Гроуп" ООД</t>
  </si>
  <si>
    <t>непокрити разходи</t>
  </si>
  <si>
    <t>Вариант без увеличен пробег и c увеличение с 10 млн. лв. на компенсациите от бюджета на СО</t>
  </si>
  <si>
    <t>Р-ди на оператора</t>
  </si>
  <si>
    <t>Д. Финансова рамка на "ЦГМ" ЕАД</t>
  </si>
  <si>
    <t>Възнаграждение на "Център за градска мобилност" ЕАД по чл. 9.1.1 от Договора -13.23%</t>
  </si>
  <si>
    <t>Разходи за тикет система</t>
  </si>
  <si>
    <t>Е. Недостиг</t>
  </si>
  <si>
    <t xml:space="preserve">Ж. Компенсация за изпълнение на задължението по ОПП </t>
  </si>
  <si>
    <t>Вариант c увеличение с 10 млн. лв. на компенсациите от бюджета на СО</t>
  </si>
  <si>
    <t>Kомисионна за "Център за градска мобилност" ЕАД - 9.90 %</t>
  </si>
  <si>
    <t>Възнаграждение на "Център за градска мобилност" ЕАД по чл. 9.1.1 от Договора -9.90%</t>
  </si>
  <si>
    <t>Вариант c увеличение с 5 млн. лв. на компенсациите от бюджета на СО</t>
  </si>
  <si>
    <t>Възнаграждение на "Център за градска мобилност" ЕАД по чл. 9.1.1 от Договора -12.03%</t>
  </si>
  <si>
    <t>Kомисионна за "Център за градска мобилност" ЕАД - 12.03 %</t>
  </si>
  <si>
    <t xml:space="preserve">Забележка: 1. Всички приходи, разходи и цени са без включен ДДС. </t>
  </si>
  <si>
    <t xml:space="preserve"> - обем продажби на превозни документи</t>
  </si>
  <si>
    <t xml:space="preserve">                    3.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2018 г. може да бъде актуализирана от "Център за градска мобилност" ЕАД до 200 000 километра. 
                    </t>
  </si>
  <si>
    <t xml:space="preserve">                    2. Обема продажби на ЦГМ и компенсациите за тарифно задължение в раздел "Г. Приходи" са показани след приспадане на комисионната на ЦГМ. </t>
  </si>
  <si>
    <t>2018 г.</t>
  </si>
  <si>
    <t xml:space="preserve">                    4. За прилагане на мярката "Еднодневна абонаментна карта за всички линии на обществения градски транспорт на територията на Столична община на цена от 1 лев - т.нар. „Зелен билет", „ЦГМ" ЕАД актуализира маршрутното разписание, съобразно конкретните нужди на база пътникопотоци, а Столична Община компенсира „ЦГМ" ЕАД за направените, във връзка с реализацията на тази мярка разходи, с актуализация на бюджета за текущата година или през следващата календарна година.
                    </t>
  </si>
  <si>
    <t>Възнаграждение на "Център за градска мобилност" ЕАД по чл. 9.1.1 от Договора -11.83%</t>
  </si>
  <si>
    <t xml:space="preserve">на обществения транспорт в Столична община за 2019 г.  </t>
  </si>
  <si>
    <t>2019 г.</t>
  </si>
  <si>
    <t>Приложение № 1</t>
  </si>
  <si>
    <t>"Столичен електротранспорт" ЕАД-електробус</t>
  </si>
  <si>
    <t xml:space="preserve">"Столичен електротранспорт" ЕАД-електробус       </t>
  </si>
  <si>
    <t xml:space="preserve">                    5. За прилагане на мярката "Еднодневна абонаментна карта за всички линии на обществения градски транспорт на територията на Столична община на цена от 1 лев - т.нар. „Зелен билет", „ЦГМ" ЕАД актуализира маршрутното разписание, съобразно конкретните нужди на база пътникопотоци, а Столична Община компенсира „ЦГМ" ЕАД за направените, във връзка с реализацията на тази мярка разходи, с актуализация на бюджета за текущата година или през следващата календарна година.
                    </t>
  </si>
  <si>
    <t>"Еридатранс" ООД</t>
  </si>
  <si>
    <t xml:space="preserve">                    2. Обема продажби на ЦГМ ЕАД и компенсациите за тарифно задължение в раздел "Г. Приходи" са показани след приспадане на възнаграждението на ЦГМ ЕАД. </t>
  </si>
  <si>
    <t xml:space="preserve">                    6. За изчисляване стойностите и единичните цени на превозите по електробусните линии са използвани прогнозни данни, на база техническите параметри на доставените електробуси и очакваните приходи, тъй като за пръв път през 2020 година ще бъдат обслужвани такъв тип линии .
                    </t>
  </si>
  <si>
    <t xml:space="preserve">Е. Недостиг </t>
  </si>
  <si>
    <t>заложени приходи в ИР</t>
  </si>
  <si>
    <t>електро.</t>
  </si>
  <si>
    <t>метро</t>
  </si>
  <si>
    <t>авто</t>
  </si>
  <si>
    <t>за  цяла година</t>
  </si>
  <si>
    <t>за полугод</t>
  </si>
  <si>
    <t>по нова прогноза</t>
  </si>
  <si>
    <t>намаление</t>
  </si>
  <si>
    <t xml:space="preserve">на обществения транспорт в Столична община за 2022 г.  </t>
  </si>
  <si>
    <t>2022 г.</t>
  </si>
  <si>
    <t>Възнаграждение на "Център за градска мобилност" ЕАД по чл. 9.1.1 от Договора -14.54%</t>
  </si>
  <si>
    <t>за 2021-цяла година сумата е 86 400 хил.лв</t>
  </si>
  <si>
    <t>за 2021-цяла година сумата е 60 000 хил.лв</t>
  </si>
  <si>
    <t>за 2021-цяла година сумата е 16 635 хил.лв</t>
  </si>
  <si>
    <t xml:space="preserve">                    3.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2022 г. може да бъде актуализирана от "Център за градска мобилност" ЕАД до 200 000 километра. 
                    </t>
  </si>
  <si>
    <t>Без приспадната комисионна и ДДС сумата е 93 600 хил. лв</t>
  </si>
  <si>
    <t>Без приспадната комисионна и ДДС сумата е 64 800 хил. лв</t>
  </si>
  <si>
    <t>Без приспадната комисионна и ДДС сумата е 20 400 хил. лв</t>
  </si>
  <si>
    <t>Общо поискана сума от ТО</t>
  </si>
  <si>
    <t>Недостиг</t>
  </si>
  <si>
    <t>/ГЕОРГИ ГЕОРГИЕВ/</t>
  </si>
  <si>
    <t xml:space="preserve">                    3. Обема продажби на ЦГМ ЕАД и компенсациите за тарифно задължение в раздел "Г. Приходи" са показани след приспадане на възнаграждението на ЦГМ ЕАД. </t>
  </si>
  <si>
    <t xml:space="preserve">                    4.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2022 г. може да бъде актуализирана от "Център за градска мобилност" ЕАД до 200 000 километра. 
                    </t>
  </si>
  <si>
    <t xml:space="preserve">                    2. За доплащания по транспортната задача, свързани с индексиране цените на километър пробег на превозвачите се осигуряват средства от дейност, различна от дейност "Други дейности по транспорта /общ.отгов.д. 849/"</t>
  </si>
  <si>
    <t xml:space="preserve"> </t>
  </si>
  <si>
    <t xml:space="preserve">на обществения транспорт в Столична община за 2023 г.  </t>
  </si>
  <si>
    <t>2023 г.</t>
  </si>
  <si>
    <t>за 2022-цяла година сумата е 93 600 хил.лв</t>
  </si>
  <si>
    <t>за 2022-цяла година сумата е 64 800 хил.лв</t>
  </si>
  <si>
    <t>за 2022-цяла година сумата е 20 400 хил.лв</t>
  </si>
  <si>
    <t>Без приспадната комисионна и ДДС сумата е 98 400 хил. лв</t>
  </si>
  <si>
    <t>Без приспадната комисионна и ДДС сумата е 68 400 хил. лв</t>
  </si>
  <si>
    <t xml:space="preserve">на обществения транспорт в Столична община за 2024 г.  </t>
  </si>
  <si>
    <t>2024 г.</t>
  </si>
  <si>
    <t xml:space="preserve">                    4. Настоящата икономическа рамка влиза в сила от 1 януари 2024 г. и при необходимост следва да бъдат направени съответните корекции на разпределените средства.
                    </t>
  </si>
  <si>
    <t>Възнаграждение на "Център за градска мобилност" ЕАД по чл. 9.1.1 от Договора -16.54%</t>
  </si>
  <si>
    <t>/Цветомир Петров/</t>
  </si>
  <si>
    <t xml:space="preserve">   - компенсация съгл. Наредба на МС от 07.07.2015 г.</t>
  </si>
  <si>
    <t xml:space="preserve">   - компенсация съгл. Регламент (ЕО) № 1370/2007</t>
  </si>
  <si>
    <t>х. лв.</t>
  </si>
  <si>
    <t xml:space="preserve">                    2. Обемът продажби на ЦГМ ЕАД и компенсациите за тарифно задължение в раздел "Г. Приходи" са показани след приспадане на възнаграждението на ЦГМ ЕАД. </t>
  </si>
  <si>
    <t xml:space="preserve">                    3. При необходимост от актуализация на маршрути и разписания или при извършване на ремонтни и строителни работи, със заповед на кмета на Столична община транспортната задача за 2023 г. може да бъде актуализирана от "Център за градска мобилност" ЕАД до 200 000 километра. 
                    </t>
  </si>
  <si>
    <t xml:space="preserve">                    5. За прилагане на мярката "Еднодневна абонаментна карта за всички линии на обществения градски транспорт на територията на Столична община на цена от 1 лев – т.нар. „Зелен билет", ЦГМ ЕАД актуализира маршрутното разписание, съобразно конкретните нужди на база пътникопотоци, а Столична община компенсира ЦГМ ЕАД за направените във връзка с реализацията на тази мярка разходи с актуализация на бюджета за текущата година или през следващата календарна година.
                    </t>
  </si>
  <si>
    <t xml:space="preserve">                    6. Заложените 89 000 хил. лв. от Държавния бюджет са гласувани със Закона за Държавния бюджет за 2024 г., но същите не са разчетени в проектобюджета на Столична община.</t>
  </si>
  <si>
    <t xml:space="preserve">                   7. В приходите от платено паркиране е заложено увеличение с 2 037 хил. лв., което може да бъде реализирано само при сключване на договор, считано от 01.01.2024 г.,  относно дейността по поставяне на фишове за неправилно паркиране.</t>
  </si>
  <si>
    <t>Разходи на ЦГМ ЕАД за осъществяване на възложените му дейности</t>
  </si>
</sst>
</file>

<file path=xl/styles.xml><?xml version="1.0" encoding="utf-8"?>
<styleSheet xmlns="http://schemas.openxmlformats.org/spreadsheetml/2006/main">
  <numFmts count="4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 &quot;лв.&quot;_);\(#,##0\ &quot;лв.&quot;\)"/>
    <numFmt numFmtId="165" formatCode="#,##0\ &quot;лв.&quot;_);[Red]\(#,##0\ &quot;лв.&quot;\)"/>
    <numFmt numFmtId="166" formatCode="#,##0.00\ &quot;лв.&quot;_);\(#,##0.00\ &quot;лв.&quot;\)"/>
    <numFmt numFmtId="167" formatCode="#,##0.00\ &quot;лв.&quot;_);[Red]\(#,##0.00\ &quot;лв.&quot;\)"/>
    <numFmt numFmtId="168" formatCode="_ * #,##0_)\ &quot;лв.&quot;_ ;_ * \(#,##0\)\ &quot;лв.&quot;_ ;_ * &quot;-&quot;_)\ &quot;лв.&quot;_ ;_ @_ "/>
    <numFmt numFmtId="169" formatCode="_ * #,##0_)_ ;_ * \(#,##0\)_ ;_ * &quot;-&quot;_)_ ;_ @_ "/>
    <numFmt numFmtId="170" formatCode="_ * #,##0.00_)\ &quot;лв.&quot;_ ;_ * \(#,##0.00\)\ &quot;лв.&quot;_ ;_ * &quot;-&quot;??_)\ &quot;лв.&quot;_ ;_ @_ "/>
    <numFmt numFmtId="171" formatCode="_ * #,##0.00_)_ ;_ * \(#,##0.00\)_ ;_ * &quot;-&quot;??_)_ ;_ @_ "/>
    <numFmt numFmtId="172" formatCode="_-* #,##0.00\ _л_в_._-;\-* #,##0.00\ _л_в_._-;_-* &quot;-&quot;??\ _л_в_._-;_-@_-"/>
    <numFmt numFmtId="173" formatCode="_(* #,##0.00_);_(* \(#,##0.00\);_(* &quot;-&quot;??_);_(@_)"/>
    <numFmt numFmtId="174" formatCode="_-* #,##0\ &quot;лв&quot;_-;\-* #,##0\ &quot;лв&quot;_-;_-* &quot;-&quot;\ &quot;лв&quot;_-;_-@_-"/>
    <numFmt numFmtId="175" formatCode="_-* #,##0\ _л_в_-;\-* #,##0\ _л_в_-;_-* &quot;-&quot;\ _л_в_-;_-@_-"/>
    <numFmt numFmtId="176" formatCode="_-* #,##0.00\ &quot;лв&quot;_-;\-* #,##0.00\ &quot;лв&quot;_-;_-* &quot;-&quot;??\ &quot;лв&quot;_-;_-@_-"/>
    <numFmt numFmtId="177" formatCode="_-* #,##0.00\ _л_в_-;\-* #,##0.00\ _л_в_-;_-* &quot;-&quot;??\ _л_в_-;_-@_-"/>
    <numFmt numFmtId="178" formatCode="#,##0.000"/>
    <numFmt numFmtId="179" formatCode="#,##0.0000"/>
    <numFmt numFmtId="180" formatCode="0.0"/>
    <numFmt numFmtId="181" formatCode="_-* #,##0\ _л_в_-;\-* #,##0\ _л_в_-;_-* &quot;-&quot;??\ _л_в_-;_-@_-"/>
    <numFmt numFmtId="182" formatCode="_ * #,##0_)\ _л_в_._ ;_ * \(#,##0\)\ _л_в_._ ;_ * &quot;-&quot;??_)\ _л_в_._ ;_ @_ "/>
    <numFmt numFmtId="183" formatCode="#,##0.000000"/>
    <numFmt numFmtId="184" formatCode="_-* #,##0.000\ _л_в_-;\-* #,##0.000\ _л_в_-;_-* &quot;-&quot;??\ _л_в_-;_-@_-"/>
    <numFmt numFmtId="185" formatCode="_-* #,##0.0000\ _л_в_-;\-* #,##0.0000\ _л_в_-;_-* &quot;-&quot;??\ _л_в_-;_-@_-"/>
    <numFmt numFmtId="186" formatCode="#,##0.0"/>
    <numFmt numFmtId="187" formatCode="_-* #,##0\ _л_в_._-;\-* #,##0\ _л_в_._-;_-* &quot;-&quot;??\ _л_в_._-;_-@_-"/>
    <numFmt numFmtId="188" formatCode="&quot;Yes&quot;;&quot;Yes&quot;;&quot;No&quot;"/>
    <numFmt numFmtId="189" formatCode="&quot;True&quot;;&quot;True&quot;;&quot;False&quot;"/>
    <numFmt numFmtId="190" formatCode="&quot;On&quot;;&quot;On&quot;;&quot;Off&quot;"/>
    <numFmt numFmtId="191" formatCode="[$€-2]\ #,##0.00_);[Red]\([$€-2]\ #,##0.00\)"/>
    <numFmt numFmtId="192" formatCode="_-* #,##0.0\ _л_в_-;\-* #,##0.0\ _л_в_-;_-* &quot;-&quot;??\ _л_в_-;_-@_-"/>
    <numFmt numFmtId="193" formatCode="0.0000"/>
    <numFmt numFmtId="194" formatCode="0.000"/>
    <numFmt numFmtId="195" formatCode="[$-402]dd\ mmmm\ yyyy\ &quot;г.&quot;"/>
    <numFmt numFmtId="196" formatCode="0.0%"/>
  </numFmts>
  <fonts count="110">
    <font>
      <sz val="10"/>
      <name val="Arial"/>
      <family val="0"/>
    </font>
    <font>
      <b/>
      <sz val="18"/>
      <name val="Timok"/>
      <family val="2"/>
    </font>
    <font>
      <b/>
      <sz val="12"/>
      <name val="Timok"/>
      <family val="2"/>
    </font>
    <font>
      <sz val="14"/>
      <name val="Timok"/>
      <family val="0"/>
    </font>
    <font>
      <b/>
      <sz val="10"/>
      <name val="Timok"/>
      <family val="2"/>
    </font>
    <font>
      <b/>
      <sz val="11"/>
      <name val="Timok"/>
      <family val="2"/>
    </font>
    <font>
      <b/>
      <sz val="14"/>
      <name val="Timok"/>
      <family val="2"/>
    </font>
    <font>
      <b/>
      <i/>
      <sz val="12"/>
      <name val="Timok"/>
      <family val="2"/>
    </font>
    <font>
      <sz val="10"/>
      <name val="Timok"/>
      <family val="2"/>
    </font>
    <font>
      <sz val="12"/>
      <name val="Timok"/>
      <family val="2"/>
    </font>
    <font>
      <b/>
      <i/>
      <sz val="10"/>
      <name val="Timok"/>
      <family val="0"/>
    </font>
    <font>
      <sz val="11"/>
      <name val="Timok"/>
      <family val="2"/>
    </font>
    <font>
      <b/>
      <sz val="10"/>
      <name val="Arial"/>
      <family val="2"/>
    </font>
    <font>
      <strike/>
      <sz val="10"/>
      <name val="Arial"/>
      <family val="2"/>
    </font>
    <font>
      <b/>
      <i/>
      <sz val="12"/>
      <color indexed="17"/>
      <name val="Timok"/>
      <family val="2"/>
    </font>
    <font>
      <sz val="10"/>
      <color indexed="17"/>
      <name val="Timok"/>
      <family val="2"/>
    </font>
    <font>
      <sz val="12"/>
      <color indexed="17"/>
      <name val="Timok"/>
      <family val="2"/>
    </font>
    <font>
      <sz val="12"/>
      <color indexed="50"/>
      <name val="Timok"/>
      <family val="2"/>
    </font>
    <font>
      <b/>
      <sz val="11"/>
      <name val="Arial"/>
      <family val="2"/>
    </font>
    <font>
      <b/>
      <sz val="11"/>
      <name val="Times New Roman"/>
      <family val="1"/>
    </font>
    <font>
      <sz val="12"/>
      <name val="Times New Roman"/>
      <family val="1"/>
    </font>
    <font>
      <b/>
      <sz val="12"/>
      <name val="Arial"/>
      <family val="2"/>
    </font>
    <font>
      <b/>
      <i/>
      <sz val="12"/>
      <name val="Arial"/>
      <family val="2"/>
    </font>
    <font>
      <b/>
      <u val="single"/>
      <sz val="12"/>
      <name val="Arial"/>
      <family val="2"/>
    </font>
    <font>
      <sz val="18"/>
      <name val="Times New Roman"/>
      <family val="1"/>
    </font>
    <font>
      <b/>
      <sz val="18"/>
      <name val="Times New Roman"/>
      <family val="1"/>
    </font>
    <font>
      <b/>
      <sz val="14"/>
      <name val="Times New Roman"/>
      <family val="1"/>
    </font>
    <font>
      <sz val="13"/>
      <name val="Times New Roman"/>
      <family val="1"/>
    </font>
    <font>
      <b/>
      <sz val="16"/>
      <name val="Arial"/>
      <family val="2"/>
    </font>
    <font>
      <sz val="26"/>
      <name val="Timok"/>
      <family val="0"/>
    </font>
    <font>
      <b/>
      <sz val="20"/>
      <name val="Arial"/>
      <family val="2"/>
    </font>
    <font>
      <sz val="9"/>
      <name val="Timok"/>
      <family val="2"/>
    </font>
    <font>
      <sz val="9"/>
      <name val="Arial"/>
      <family val="2"/>
    </font>
    <font>
      <b/>
      <sz val="9"/>
      <name val="Timok"/>
      <family val="0"/>
    </font>
    <font>
      <sz val="8"/>
      <name val="Arial"/>
      <family val="2"/>
    </font>
    <font>
      <sz val="8"/>
      <name val="Tim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sz val="10"/>
      <color indexed="50"/>
      <name val="Arial"/>
      <family val="2"/>
    </font>
    <font>
      <sz val="12"/>
      <color indexed="9"/>
      <name val="Timok"/>
      <family val="2"/>
    </font>
    <font>
      <sz val="10"/>
      <color indexed="9"/>
      <name val="Timok"/>
      <family val="2"/>
    </font>
    <font>
      <sz val="10"/>
      <color indexed="10"/>
      <name val="Arial"/>
      <family val="2"/>
    </font>
    <font>
      <b/>
      <i/>
      <sz val="12"/>
      <color indexed="10"/>
      <name val="Timok"/>
      <family val="0"/>
    </font>
    <font>
      <sz val="12"/>
      <color indexed="10"/>
      <name val="Timok"/>
      <family val="2"/>
    </font>
    <font>
      <sz val="10"/>
      <color indexed="10"/>
      <name val="Timok"/>
      <family val="2"/>
    </font>
    <font>
      <b/>
      <sz val="14"/>
      <color indexed="10"/>
      <name val="Timok"/>
      <family val="0"/>
    </font>
    <font>
      <sz val="10"/>
      <color indexed="9"/>
      <name val="Arial"/>
      <family val="2"/>
    </font>
    <font>
      <sz val="11"/>
      <color indexed="9"/>
      <name val="Timok"/>
      <family val="2"/>
    </font>
    <font>
      <sz val="11"/>
      <color indexed="10"/>
      <name val="Timok"/>
      <family val="2"/>
    </font>
    <font>
      <sz val="9"/>
      <color indexed="10"/>
      <name val="Arial"/>
      <family val="2"/>
    </font>
    <font>
      <sz val="9"/>
      <color indexed="10"/>
      <name val="Timok"/>
      <family val="2"/>
    </font>
    <font>
      <b/>
      <sz val="9"/>
      <color indexed="10"/>
      <name val="Arial"/>
      <family val="2"/>
    </font>
    <font>
      <b/>
      <sz val="12"/>
      <color indexed="10"/>
      <name val="Timok"/>
      <family val="0"/>
    </font>
    <font>
      <b/>
      <sz val="10"/>
      <color indexed="9"/>
      <name val="Tim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sz val="10"/>
      <color rgb="FF92D050"/>
      <name val="Arial"/>
      <family val="2"/>
    </font>
    <font>
      <sz val="12"/>
      <color theme="0"/>
      <name val="Timok"/>
      <family val="2"/>
    </font>
    <font>
      <sz val="10"/>
      <color theme="0"/>
      <name val="Timok"/>
      <family val="2"/>
    </font>
    <font>
      <sz val="10"/>
      <color rgb="FFFF0000"/>
      <name val="Arial"/>
      <family val="2"/>
    </font>
    <font>
      <b/>
      <i/>
      <sz val="12"/>
      <color rgb="FFFF0000"/>
      <name val="Timok"/>
      <family val="0"/>
    </font>
    <font>
      <sz val="12"/>
      <color rgb="FFFF0000"/>
      <name val="Timok"/>
      <family val="2"/>
    </font>
    <font>
      <sz val="10"/>
      <color rgb="FFFF0000"/>
      <name val="Timok"/>
      <family val="2"/>
    </font>
    <font>
      <b/>
      <sz val="14"/>
      <color rgb="FFFF0000"/>
      <name val="Timok"/>
      <family val="0"/>
    </font>
    <font>
      <sz val="10"/>
      <color theme="0"/>
      <name val="Arial"/>
      <family val="2"/>
    </font>
    <font>
      <sz val="11"/>
      <color theme="0"/>
      <name val="Timok"/>
      <family val="2"/>
    </font>
    <font>
      <sz val="11"/>
      <color rgb="FFFF0000"/>
      <name val="Timok"/>
      <family val="2"/>
    </font>
    <font>
      <sz val="9"/>
      <color rgb="FFFF0000"/>
      <name val="Arial"/>
      <family val="2"/>
    </font>
    <font>
      <sz val="9"/>
      <color rgb="FFFF0000"/>
      <name val="Timok"/>
      <family val="2"/>
    </font>
    <font>
      <b/>
      <sz val="9"/>
      <color rgb="FFFF0000"/>
      <name val="Arial"/>
      <family val="2"/>
    </font>
    <font>
      <b/>
      <sz val="12"/>
      <color rgb="FFFF0000"/>
      <name val="Timok"/>
      <family val="0"/>
    </font>
    <font>
      <b/>
      <sz val="10"/>
      <color theme="0"/>
      <name val="Timo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style="hair"/>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style="hair"/>
      <top style="medium"/>
      <bottom style="hair"/>
    </border>
    <border>
      <left style="hair"/>
      <right style="medium"/>
      <top style="medium"/>
      <bottom style="hair"/>
    </border>
    <border>
      <left style="medium"/>
      <right style="medium"/>
      <top>
        <color indexed="63"/>
      </top>
      <bottom style="medium"/>
    </border>
    <border>
      <left style="medium"/>
      <right>
        <color indexed="63"/>
      </right>
      <top>
        <color indexed="63"/>
      </top>
      <bottom>
        <color indexed="63"/>
      </botto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88"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629">
    <xf numFmtId="0" fontId="0" fillId="0" borderId="0" xfId="0" applyAlignment="1">
      <alignment/>
    </xf>
    <xf numFmtId="3" fontId="6" fillId="0" borderId="10" xfId="0" applyNumberFormat="1" applyFont="1" applyBorder="1" applyAlignment="1">
      <alignment vertical="top"/>
    </xf>
    <xf numFmtId="0" fontId="0" fillId="0" borderId="0" xfId="0" applyAlignment="1">
      <alignment vertical="top"/>
    </xf>
    <xf numFmtId="0" fontId="7" fillId="0" borderId="11" xfId="0" applyFont="1" applyBorder="1" applyAlignment="1">
      <alignment vertical="top"/>
    </xf>
    <xf numFmtId="0" fontId="8" fillId="0" borderId="11" xfId="0" applyFont="1" applyBorder="1" applyAlignment="1">
      <alignment horizontal="center" vertical="top"/>
    </xf>
    <xf numFmtId="3" fontId="7" fillId="0" borderId="11" xfId="0" applyNumberFormat="1" applyFont="1" applyBorder="1" applyAlignment="1">
      <alignment vertical="top"/>
    </xf>
    <xf numFmtId="0" fontId="9" fillId="0" borderId="0" xfId="0" applyFont="1" applyAlignment="1">
      <alignment/>
    </xf>
    <xf numFmtId="3" fontId="8" fillId="0" borderId="11" xfId="0" applyNumberFormat="1" applyFont="1" applyBorder="1" applyAlignment="1">
      <alignment vertical="top"/>
    </xf>
    <xf numFmtId="0" fontId="8" fillId="0" borderId="11" xfId="0" applyFont="1" applyBorder="1" applyAlignment="1">
      <alignment vertical="top"/>
    </xf>
    <xf numFmtId="0" fontId="8" fillId="0" borderId="11" xfId="0" applyFont="1" applyBorder="1" applyAlignment="1">
      <alignment vertical="top"/>
    </xf>
    <xf numFmtId="0" fontId="8" fillId="0" borderId="12" xfId="0" applyFont="1" applyBorder="1" applyAlignment="1">
      <alignment horizontal="center" vertical="top"/>
    </xf>
    <xf numFmtId="0" fontId="6" fillId="0" borderId="10" xfId="0" applyFont="1" applyBorder="1" applyAlignment="1">
      <alignment vertical="top"/>
    </xf>
    <xf numFmtId="3" fontId="8" fillId="0" borderId="11" xfId="0" applyNumberFormat="1" applyFont="1" applyBorder="1" applyAlignment="1">
      <alignment vertical="top"/>
    </xf>
    <xf numFmtId="0" fontId="10" fillId="0" borderId="11" xfId="0" applyFont="1" applyBorder="1" applyAlignment="1">
      <alignment vertical="top"/>
    </xf>
    <xf numFmtId="2" fontId="8" fillId="0" borderId="11" xfId="0" applyNumberFormat="1" applyFont="1" applyBorder="1" applyAlignment="1">
      <alignment vertical="top"/>
    </xf>
    <xf numFmtId="0" fontId="8" fillId="0" borderId="0" xfId="0" applyFont="1" applyBorder="1" applyAlignment="1">
      <alignment vertical="top"/>
    </xf>
    <xf numFmtId="0" fontId="8" fillId="0" borderId="0" xfId="0" applyFont="1" applyBorder="1" applyAlignment="1">
      <alignment vertical="top"/>
    </xf>
    <xf numFmtId="0" fontId="6" fillId="33" borderId="10" xfId="0" applyFont="1" applyFill="1" applyBorder="1" applyAlignment="1">
      <alignment vertical="top" wrapText="1"/>
    </xf>
    <xf numFmtId="0" fontId="4" fillId="33" borderId="10" xfId="0" applyFont="1" applyFill="1" applyBorder="1" applyAlignment="1">
      <alignment horizontal="center" vertical="top"/>
    </xf>
    <xf numFmtId="3" fontId="8" fillId="0" borderId="11" xfId="0" applyNumberFormat="1" applyFont="1" applyBorder="1" applyAlignment="1">
      <alignment vertical="top" wrapText="1"/>
    </xf>
    <xf numFmtId="0" fontId="8" fillId="0" borderId="11" xfId="0" applyFont="1" applyBorder="1" applyAlignment="1">
      <alignment vertical="top"/>
    </xf>
    <xf numFmtId="0" fontId="8" fillId="0" borderId="12" xfId="0" applyFont="1" applyBorder="1" applyAlignment="1">
      <alignment vertical="top"/>
    </xf>
    <xf numFmtId="0" fontId="11" fillId="0" borderId="0" xfId="0" applyFont="1" applyBorder="1" applyAlignment="1">
      <alignment vertical="top"/>
    </xf>
    <xf numFmtId="0" fontId="8" fillId="0" borderId="0" xfId="0" applyFont="1" applyBorder="1" applyAlignment="1">
      <alignment horizontal="center" vertical="top"/>
    </xf>
    <xf numFmtId="3" fontId="8" fillId="0" borderId="0" xfId="0" applyNumberFormat="1" applyFont="1" applyBorder="1" applyAlignment="1">
      <alignment vertical="top"/>
    </xf>
    <xf numFmtId="3" fontId="7" fillId="0" borderId="0" xfId="0" applyNumberFormat="1" applyFont="1" applyBorder="1" applyAlignment="1">
      <alignment vertical="top"/>
    </xf>
    <xf numFmtId="0" fontId="0" fillId="0" borderId="0" xfId="0" applyBorder="1" applyAlignment="1">
      <alignment/>
    </xf>
    <xf numFmtId="3" fontId="9" fillId="0" borderId="0" xfId="0" applyNumberFormat="1" applyFont="1" applyAlignment="1">
      <alignment/>
    </xf>
    <xf numFmtId="3" fontId="0" fillId="0" borderId="0" xfId="0" applyNumberFormat="1" applyAlignment="1">
      <alignment/>
    </xf>
    <xf numFmtId="0" fontId="8" fillId="0" borderId="0" xfId="0" applyFont="1" applyAlignment="1">
      <alignment horizontal="center" vertical="center" wrapText="1"/>
    </xf>
    <xf numFmtId="0" fontId="10" fillId="0" borderId="13" xfId="0" applyFont="1" applyBorder="1" applyAlignment="1">
      <alignment vertical="top"/>
    </xf>
    <xf numFmtId="0" fontId="8" fillId="0" borderId="13" xfId="0" applyFont="1" applyBorder="1" applyAlignment="1">
      <alignment horizontal="center" vertical="top"/>
    </xf>
    <xf numFmtId="2" fontId="8" fillId="0" borderId="13" xfId="0" applyNumberFormat="1" applyFont="1" applyBorder="1" applyAlignment="1">
      <alignment vertical="top"/>
    </xf>
    <xf numFmtId="2" fontId="8" fillId="0" borderId="11" xfId="0" applyNumberFormat="1" applyFont="1" applyFill="1" applyBorder="1" applyAlignment="1">
      <alignment vertical="top"/>
    </xf>
    <xf numFmtId="2" fontId="8" fillId="0" borderId="12" xfId="0" applyNumberFormat="1" applyFont="1" applyBorder="1" applyAlignment="1">
      <alignment vertical="top"/>
    </xf>
    <xf numFmtId="0" fontId="9" fillId="0" borderId="0" xfId="0" applyFont="1" applyBorder="1" applyAlignment="1">
      <alignment/>
    </xf>
    <xf numFmtId="0" fontId="13" fillId="0" borderId="0" xfId="0" applyFont="1" applyAlignment="1">
      <alignment/>
    </xf>
    <xf numFmtId="0" fontId="11" fillId="0" borderId="0" xfId="0" applyFont="1" applyAlignment="1">
      <alignment/>
    </xf>
    <xf numFmtId="0" fontId="8" fillId="0" borderId="0" xfId="0" applyFont="1" applyAlignment="1">
      <alignment/>
    </xf>
    <xf numFmtId="17" fontId="12" fillId="0" borderId="0" xfId="0" applyNumberFormat="1" applyFont="1" applyBorder="1" applyAlignment="1">
      <alignment/>
    </xf>
    <xf numFmtId="3" fontId="8" fillId="0" borderId="12" xfId="0" applyNumberFormat="1" applyFont="1" applyBorder="1" applyAlignment="1">
      <alignment vertical="top"/>
    </xf>
    <xf numFmtId="0" fontId="6" fillId="33" borderId="14" xfId="0" applyFont="1" applyFill="1" applyBorder="1" applyAlignment="1">
      <alignment vertical="justify" wrapText="1"/>
    </xf>
    <xf numFmtId="0" fontId="3" fillId="33" borderId="14" xfId="0" applyFont="1" applyFill="1" applyBorder="1" applyAlignment="1">
      <alignment horizont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2" fontId="0" fillId="0" borderId="0" xfId="0" applyNumberFormat="1" applyBorder="1" applyAlignment="1">
      <alignment/>
    </xf>
    <xf numFmtId="2" fontId="16" fillId="0" borderId="0" xfId="0" applyNumberFormat="1" applyFont="1" applyBorder="1" applyAlignment="1">
      <alignment/>
    </xf>
    <xf numFmtId="0" fontId="17" fillId="0" borderId="0" xfId="0" applyFont="1" applyBorder="1" applyAlignment="1">
      <alignment/>
    </xf>
    <xf numFmtId="0" fontId="0" fillId="0" borderId="0" xfId="0" applyBorder="1" applyAlignment="1">
      <alignment wrapText="1"/>
    </xf>
    <xf numFmtId="0" fontId="18" fillId="0" borderId="0" xfId="0" applyFont="1" applyAlignment="1">
      <alignment/>
    </xf>
    <xf numFmtId="0" fontId="2" fillId="0" borderId="0" xfId="0" applyFont="1" applyAlignment="1">
      <alignment/>
    </xf>
    <xf numFmtId="180" fontId="0" fillId="0" borderId="0" xfId="0" applyNumberFormat="1" applyBorder="1" applyAlignment="1">
      <alignment/>
    </xf>
    <xf numFmtId="180" fontId="0" fillId="0" borderId="0" xfId="0" applyNumberFormat="1" applyAlignment="1">
      <alignment/>
    </xf>
    <xf numFmtId="0" fontId="7" fillId="0" borderId="11" xfId="0" applyFont="1" applyBorder="1" applyAlignment="1">
      <alignment/>
    </xf>
    <xf numFmtId="0" fontId="8" fillId="0" borderId="11" xfId="0" applyFont="1" applyBorder="1" applyAlignment="1">
      <alignment horizontal="center"/>
    </xf>
    <xf numFmtId="3" fontId="7" fillId="0" borderId="11" xfId="0" applyNumberFormat="1" applyFont="1" applyBorder="1" applyAlignment="1">
      <alignment/>
    </xf>
    <xf numFmtId="0" fontId="19" fillId="0" borderId="0" xfId="0" applyFont="1" applyAlignment="1">
      <alignment/>
    </xf>
    <xf numFmtId="3" fontId="6" fillId="33" borderId="14" xfId="0" applyNumberFormat="1" applyFont="1" applyFill="1" applyBorder="1" applyAlignment="1">
      <alignment/>
    </xf>
    <xf numFmtId="0" fontId="2" fillId="0" borderId="15" xfId="0" applyFont="1" applyBorder="1" applyAlignment="1">
      <alignment horizontal="center" vertical="center"/>
    </xf>
    <xf numFmtId="0" fontId="4" fillId="0" borderId="14" xfId="0" applyFont="1" applyBorder="1" applyAlignment="1">
      <alignment horizontal="center" vertical="center"/>
    </xf>
    <xf numFmtId="0" fontId="7" fillId="0" borderId="16" xfId="0" applyFont="1" applyBorder="1" applyAlignment="1">
      <alignment vertical="top" wrapText="1"/>
    </xf>
    <xf numFmtId="0" fontId="8" fillId="0" borderId="16" xfId="0" applyFont="1" applyBorder="1" applyAlignment="1">
      <alignment vertical="top"/>
    </xf>
    <xf numFmtId="0" fontId="0" fillId="0" borderId="16" xfId="0" applyBorder="1" applyAlignment="1">
      <alignment vertical="top"/>
    </xf>
    <xf numFmtId="0" fontId="12" fillId="0" borderId="17" xfId="0" applyFont="1" applyBorder="1" applyAlignment="1">
      <alignment horizontal="center" vertical="center" wrapText="1"/>
    </xf>
    <xf numFmtId="0" fontId="4" fillId="0" borderId="17" xfId="0" applyFont="1" applyBorder="1" applyAlignment="1">
      <alignment horizontal="center" vertical="center"/>
    </xf>
    <xf numFmtId="0" fontId="8" fillId="0" borderId="18" xfId="0" applyFont="1" applyBorder="1" applyAlignment="1">
      <alignment horizontal="center" vertical="center"/>
    </xf>
    <xf numFmtId="4" fontId="8" fillId="0" borderId="11" xfId="0" applyNumberFormat="1" applyFont="1" applyBorder="1" applyAlignment="1">
      <alignment vertical="top"/>
    </xf>
    <xf numFmtId="4" fontId="8" fillId="0" borderId="13" xfId="0" applyNumberFormat="1" applyFont="1" applyBorder="1" applyAlignment="1">
      <alignment vertical="top"/>
    </xf>
    <xf numFmtId="4" fontId="8" fillId="0" borderId="12" xfId="0" applyNumberFormat="1" applyFont="1" applyBorder="1" applyAlignment="1">
      <alignment vertical="top"/>
    </xf>
    <xf numFmtId="0" fontId="8" fillId="0" borderId="15" xfId="0" applyFont="1" applyBorder="1" applyAlignment="1">
      <alignment horizontal="center" vertical="center"/>
    </xf>
    <xf numFmtId="0" fontId="12" fillId="0" borderId="14" xfId="0" applyFont="1" applyBorder="1" applyAlignment="1">
      <alignment horizontal="center" vertical="center" wrapText="1"/>
    </xf>
    <xf numFmtId="0" fontId="4" fillId="0" borderId="19" xfId="0" applyFont="1" applyBorder="1" applyAlignment="1">
      <alignment horizontal="center" vertical="center"/>
    </xf>
    <xf numFmtId="0" fontId="12" fillId="0" borderId="19" xfId="0" applyFont="1" applyBorder="1" applyAlignment="1">
      <alignment horizontal="center" vertical="center" wrapText="1"/>
    </xf>
    <xf numFmtId="3" fontId="6" fillId="0" borderId="0" xfId="0" applyNumberFormat="1" applyFont="1" applyBorder="1" applyAlignment="1">
      <alignment vertical="top"/>
    </xf>
    <xf numFmtId="3" fontId="7" fillId="0" borderId="0" xfId="0" applyNumberFormat="1" applyFont="1" applyBorder="1" applyAlignment="1">
      <alignment/>
    </xf>
    <xf numFmtId="3" fontId="8" fillId="0" borderId="0" xfId="0" applyNumberFormat="1" applyFont="1" applyBorder="1" applyAlignment="1">
      <alignment vertical="top" wrapText="1"/>
    </xf>
    <xf numFmtId="4" fontId="8" fillId="0" borderId="11" xfId="0" applyNumberFormat="1" applyFont="1" applyFill="1" applyBorder="1" applyAlignment="1">
      <alignment vertical="top"/>
    </xf>
    <xf numFmtId="4" fontId="8" fillId="0" borderId="12" xfId="0" applyNumberFormat="1" applyFont="1" applyFill="1" applyBorder="1" applyAlignment="1">
      <alignment vertical="top"/>
    </xf>
    <xf numFmtId="0" fontId="12" fillId="0" borderId="17" xfId="0" applyFont="1" applyBorder="1" applyAlignment="1">
      <alignment vertical="center" wrapText="1"/>
    </xf>
    <xf numFmtId="0" fontId="0" fillId="0" borderId="0" xfId="0" applyAlignment="1">
      <alignment wrapText="1"/>
    </xf>
    <xf numFmtId="3" fontId="8" fillId="0" borderId="11" xfId="0" applyNumberFormat="1" applyFont="1" applyBorder="1" applyAlignment="1">
      <alignment/>
    </xf>
    <xf numFmtId="4" fontId="9" fillId="0" borderId="0" xfId="0" applyNumberFormat="1" applyFont="1" applyAlignment="1">
      <alignment/>
    </xf>
    <xf numFmtId="3" fontId="0" fillId="0" borderId="0" xfId="0" applyNumberFormat="1" applyBorder="1" applyAlignment="1">
      <alignment/>
    </xf>
    <xf numFmtId="3" fontId="9" fillId="0" borderId="0" xfId="0" applyNumberFormat="1" applyFont="1" applyBorder="1" applyAlignment="1">
      <alignment/>
    </xf>
    <xf numFmtId="4" fontId="0" fillId="0" borderId="0" xfId="0" applyNumberFormat="1" applyBorder="1" applyAlignment="1">
      <alignment/>
    </xf>
    <xf numFmtId="4" fontId="9" fillId="0" borderId="0" xfId="0" applyNumberFormat="1" applyFont="1" applyBorder="1" applyAlignment="1">
      <alignment/>
    </xf>
    <xf numFmtId="0" fontId="20" fillId="0" borderId="0" xfId="0" applyFont="1" applyAlignment="1">
      <alignment/>
    </xf>
    <xf numFmtId="0" fontId="93" fillId="0" borderId="0" xfId="0" applyFont="1" applyBorder="1" applyAlignment="1">
      <alignment/>
    </xf>
    <xf numFmtId="3" fontId="4" fillId="0" borderId="0" xfId="0" applyNumberFormat="1" applyFont="1" applyBorder="1" applyAlignment="1">
      <alignment/>
    </xf>
    <xf numFmtId="0" fontId="4" fillId="0" borderId="0" xfId="0" applyFont="1" applyBorder="1" applyAlignment="1">
      <alignment vertical="center"/>
    </xf>
    <xf numFmtId="0" fontId="6" fillId="0" borderId="10" xfId="0" applyFont="1" applyBorder="1" applyAlignment="1">
      <alignment/>
    </xf>
    <xf numFmtId="0" fontId="2" fillId="0" borderId="10" xfId="0" applyFont="1" applyBorder="1" applyAlignment="1">
      <alignment horizontal="center"/>
    </xf>
    <xf numFmtId="0" fontId="8" fillId="0" borderId="11" xfId="0" applyFont="1" applyBorder="1" applyAlignment="1">
      <alignment/>
    </xf>
    <xf numFmtId="3" fontId="8" fillId="0" borderId="11" xfId="0" applyNumberFormat="1" applyFont="1" applyBorder="1" applyAlignment="1">
      <alignment/>
    </xf>
    <xf numFmtId="0" fontId="7" fillId="0" borderId="13" xfId="0" applyFont="1" applyBorder="1" applyAlignment="1">
      <alignment/>
    </xf>
    <xf numFmtId="0" fontId="8" fillId="0" borderId="13" xfId="0" applyFont="1" applyBorder="1" applyAlignment="1">
      <alignment horizontal="center"/>
    </xf>
    <xf numFmtId="3" fontId="7" fillId="0" borderId="13" xfId="0" applyNumberFormat="1" applyFont="1" applyBorder="1" applyAlignment="1">
      <alignment/>
    </xf>
    <xf numFmtId="3" fontId="7" fillId="0" borderId="20" xfId="0" applyNumberFormat="1" applyFont="1" applyBorder="1" applyAlignment="1">
      <alignment/>
    </xf>
    <xf numFmtId="0" fontId="7" fillId="0" borderId="0" xfId="0" applyFont="1" applyBorder="1" applyAlignment="1">
      <alignment vertical="top"/>
    </xf>
    <xf numFmtId="3" fontId="8" fillId="0" borderId="21" xfId="0" applyNumberFormat="1" applyFont="1" applyBorder="1" applyAlignment="1">
      <alignment vertical="top"/>
    </xf>
    <xf numFmtId="0" fontId="6" fillId="0" borderId="10" xfId="0" applyFont="1" applyBorder="1" applyAlignment="1">
      <alignment/>
    </xf>
    <xf numFmtId="3" fontId="6" fillId="0" borderId="10" xfId="0" applyNumberFormat="1" applyFont="1" applyBorder="1" applyAlignment="1">
      <alignment/>
    </xf>
    <xf numFmtId="3" fontId="9" fillId="0" borderId="0" xfId="0" applyNumberFormat="1" applyFont="1" applyAlignment="1">
      <alignment/>
    </xf>
    <xf numFmtId="0" fontId="0" fillId="0" borderId="0" xfId="0" applyAlignment="1">
      <alignment/>
    </xf>
    <xf numFmtId="3" fontId="0" fillId="0" borderId="0" xfId="0" applyNumberFormat="1" applyBorder="1" applyAlignment="1">
      <alignment/>
    </xf>
    <xf numFmtId="3" fontId="6" fillId="0" borderId="0" xfId="0" applyNumberFormat="1" applyFont="1" applyBorder="1" applyAlignment="1">
      <alignment/>
    </xf>
    <xf numFmtId="0" fontId="0" fillId="0" borderId="0" xfId="0" applyBorder="1" applyAlignment="1">
      <alignment/>
    </xf>
    <xf numFmtId="3" fontId="2" fillId="0" borderId="11" xfId="0" applyNumberFormat="1" applyFont="1" applyFill="1" applyBorder="1" applyAlignment="1">
      <alignment/>
    </xf>
    <xf numFmtId="0" fontId="9" fillId="0" borderId="0" xfId="0" applyFont="1" applyBorder="1" applyAlignment="1">
      <alignment/>
    </xf>
    <xf numFmtId="0" fontId="9" fillId="0" borderId="0" xfId="0" applyFont="1" applyAlignment="1">
      <alignment/>
    </xf>
    <xf numFmtId="3" fontId="9" fillId="0" borderId="0" xfId="0" applyNumberFormat="1" applyFont="1" applyBorder="1" applyAlignment="1">
      <alignment/>
    </xf>
    <xf numFmtId="3" fontId="8" fillId="0" borderId="11" xfId="0" applyNumberFormat="1" applyFont="1" applyFill="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0" fontId="7" fillId="0" borderId="11" xfId="0" applyFont="1" applyBorder="1" applyAlignment="1">
      <alignment/>
    </xf>
    <xf numFmtId="3" fontId="7" fillId="0" borderId="11" xfId="0" applyNumberFormat="1" applyFont="1" applyFill="1" applyBorder="1" applyAlignment="1">
      <alignment/>
    </xf>
    <xf numFmtId="0" fontId="7" fillId="0" borderId="12" xfId="0" applyFont="1" applyBorder="1" applyAlignment="1">
      <alignment/>
    </xf>
    <xf numFmtId="0" fontId="8" fillId="0" borderId="12" xfId="0" applyFont="1" applyBorder="1" applyAlignment="1">
      <alignment horizontal="center"/>
    </xf>
    <xf numFmtId="3" fontId="7" fillId="0" borderId="12" xfId="0" applyNumberFormat="1" applyFont="1" applyFill="1" applyBorder="1" applyAlignment="1">
      <alignment/>
    </xf>
    <xf numFmtId="3" fontId="2" fillId="0" borderId="12" xfId="0" applyNumberFormat="1" applyFont="1" applyFill="1" applyBorder="1" applyAlignment="1">
      <alignment/>
    </xf>
    <xf numFmtId="3" fontId="7" fillId="0" borderId="12" xfId="0" applyNumberFormat="1" applyFont="1" applyBorder="1" applyAlignment="1">
      <alignment/>
    </xf>
    <xf numFmtId="3" fontId="7" fillId="0" borderId="0" xfId="0" applyNumberFormat="1" applyFont="1" applyBorder="1" applyAlignment="1">
      <alignment/>
    </xf>
    <xf numFmtId="0" fontId="10" fillId="0" borderId="12" xfId="0" applyFont="1" applyBorder="1" applyAlignment="1">
      <alignment vertical="top"/>
    </xf>
    <xf numFmtId="0" fontId="6" fillId="34" borderId="10" xfId="0" applyFont="1" applyFill="1" applyBorder="1" applyAlignment="1">
      <alignment wrapText="1"/>
    </xf>
    <xf numFmtId="0" fontId="4" fillId="34" borderId="10" xfId="0" applyFont="1" applyFill="1" applyBorder="1" applyAlignment="1">
      <alignment horizontal="center"/>
    </xf>
    <xf numFmtId="3" fontId="6" fillId="34" borderId="10" xfId="0" applyNumberFormat="1" applyFont="1" applyFill="1" applyBorder="1" applyAlignment="1">
      <alignment/>
    </xf>
    <xf numFmtId="0" fontId="8" fillId="34" borderId="11" xfId="0" applyFont="1" applyFill="1" applyBorder="1" applyAlignment="1">
      <alignment wrapText="1"/>
    </xf>
    <xf numFmtId="0" fontId="8" fillId="34" borderId="11" xfId="0" applyFont="1" applyFill="1" applyBorder="1" applyAlignment="1">
      <alignment horizontal="center" wrapText="1"/>
    </xf>
    <xf numFmtId="3" fontId="8" fillId="34" borderId="11" xfId="0" applyNumberFormat="1" applyFont="1" applyFill="1" applyBorder="1" applyAlignment="1">
      <alignment wrapText="1"/>
    </xf>
    <xf numFmtId="0" fontId="8" fillId="34" borderId="11" xfId="0" applyFont="1" applyFill="1" applyBorder="1" applyAlignment="1">
      <alignment horizontal="center"/>
    </xf>
    <xf numFmtId="3" fontId="8" fillId="34" borderId="11" xfId="0" applyNumberFormat="1" applyFont="1" applyFill="1" applyBorder="1" applyAlignment="1">
      <alignment/>
    </xf>
    <xf numFmtId="0" fontId="8" fillId="34" borderId="11" xfId="0" applyFont="1" applyFill="1" applyBorder="1" applyAlignment="1">
      <alignment wrapText="1"/>
    </xf>
    <xf numFmtId="3" fontId="8" fillId="34" borderId="11" xfId="0" applyNumberFormat="1" applyFont="1" applyFill="1" applyBorder="1" applyAlignment="1">
      <alignment wrapText="1"/>
    </xf>
    <xf numFmtId="0" fontId="8" fillId="34" borderId="12" xfId="0" applyFont="1" applyFill="1" applyBorder="1" applyAlignment="1">
      <alignment wrapText="1"/>
    </xf>
    <xf numFmtId="0" fontId="4" fillId="34" borderId="12" xfId="0" applyFont="1" applyFill="1" applyBorder="1" applyAlignment="1">
      <alignment horizontal="center"/>
    </xf>
    <xf numFmtId="3" fontId="8" fillId="34" borderId="12" xfId="0" applyNumberFormat="1" applyFont="1" applyFill="1" applyBorder="1" applyAlignment="1">
      <alignment wrapText="1"/>
    </xf>
    <xf numFmtId="0" fontId="8" fillId="34" borderId="10" xfId="0" applyFont="1" applyFill="1" applyBorder="1" applyAlignment="1">
      <alignment vertical="center"/>
    </xf>
    <xf numFmtId="0" fontId="8" fillId="34" borderId="10" xfId="0" applyFont="1" applyFill="1" applyBorder="1" applyAlignment="1">
      <alignment horizontal="center" vertical="top"/>
    </xf>
    <xf numFmtId="3" fontId="8" fillId="34" borderId="10" xfId="0" applyNumberFormat="1" applyFont="1" applyFill="1" applyBorder="1" applyAlignment="1">
      <alignment vertical="center"/>
    </xf>
    <xf numFmtId="0" fontId="8" fillId="34" borderId="12" xfId="0" applyFont="1" applyFill="1" applyBorder="1" applyAlignment="1">
      <alignment vertical="center"/>
    </xf>
    <xf numFmtId="0" fontId="8" fillId="34" borderId="12" xfId="0" applyFont="1" applyFill="1" applyBorder="1" applyAlignment="1">
      <alignment horizontal="center" vertical="top"/>
    </xf>
    <xf numFmtId="3" fontId="8" fillId="34" borderId="12" xfId="0" applyNumberFormat="1" applyFont="1" applyFill="1" applyBorder="1" applyAlignment="1">
      <alignment vertical="center"/>
    </xf>
    <xf numFmtId="0" fontId="8" fillId="0" borderId="11" xfId="0" applyFont="1" applyFill="1" applyBorder="1" applyAlignment="1">
      <alignment wrapText="1"/>
    </xf>
    <xf numFmtId="0" fontId="8" fillId="0" borderId="11" xfId="0" applyFont="1" applyFill="1" applyBorder="1" applyAlignment="1">
      <alignment horizontal="center"/>
    </xf>
    <xf numFmtId="3" fontId="94" fillId="0" borderId="0" xfId="0" applyNumberFormat="1" applyFont="1" applyBorder="1" applyAlignment="1">
      <alignment wrapText="1"/>
    </xf>
    <xf numFmtId="3" fontId="94" fillId="0" borderId="0" xfId="0" applyNumberFormat="1" applyFont="1" applyBorder="1" applyAlignment="1">
      <alignment/>
    </xf>
    <xf numFmtId="0" fontId="0" fillId="0" borderId="0" xfId="0" applyFont="1" applyBorder="1" applyAlignment="1">
      <alignment/>
    </xf>
    <xf numFmtId="49" fontId="0" fillId="0" borderId="0" xfId="0" applyNumberFormat="1" applyBorder="1" applyAlignment="1">
      <alignment/>
    </xf>
    <xf numFmtId="3" fontId="8" fillId="0" borderId="11" xfId="0" applyNumberFormat="1" applyFont="1" applyFill="1" applyBorder="1" applyAlignment="1">
      <alignment/>
    </xf>
    <xf numFmtId="3" fontId="6" fillId="0" borderId="13" xfId="0" applyNumberFormat="1" applyFont="1" applyBorder="1" applyAlignment="1">
      <alignment/>
    </xf>
    <xf numFmtId="10" fontId="21" fillId="0" borderId="10" xfId="0" applyNumberFormat="1" applyFont="1" applyBorder="1" applyAlignment="1">
      <alignment/>
    </xf>
    <xf numFmtId="10" fontId="0" fillId="0" borderId="11" xfId="0" applyNumberFormat="1" applyFont="1" applyBorder="1" applyAlignment="1">
      <alignment/>
    </xf>
    <xf numFmtId="10" fontId="22" fillId="0" borderId="11" xfId="0" applyNumberFormat="1" applyFont="1" applyBorder="1" applyAlignment="1">
      <alignment/>
    </xf>
    <xf numFmtId="10" fontId="22" fillId="0" borderId="12" xfId="0" applyNumberFormat="1" applyFont="1" applyBorder="1" applyAlignment="1">
      <alignment/>
    </xf>
    <xf numFmtId="10" fontId="6" fillId="0" borderId="0" xfId="0" applyNumberFormat="1" applyFont="1" applyBorder="1" applyAlignment="1">
      <alignment/>
    </xf>
    <xf numFmtId="179" fontId="2" fillId="0" borderId="0" xfId="0" applyNumberFormat="1" applyFont="1" applyFill="1" applyBorder="1" applyAlignment="1">
      <alignment/>
    </xf>
    <xf numFmtId="179" fontId="9" fillId="0" borderId="0" xfId="0" applyNumberFormat="1" applyFont="1" applyAlignment="1">
      <alignment/>
    </xf>
    <xf numFmtId="0" fontId="23" fillId="0" borderId="0" xfId="0" applyFont="1" applyAlignment="1">
      <alignment/>
    </xf>
    <xf numFmtId="10" fontId="9" fillId="0" borderId="0" xfId="62" applyNumberFormat="1" applyFont="1" applyAlignment="1">
      <alignment/>
    </xf>
    <xf numFmtId="4" fontId="0" fillId="0" borderId="0" xfId="0" applyNumberFormat="1" applyAlignment="1">
      <alignment/>
    </xf>
    <xf numFmtId="0" fontId="6" fillId="0" borderId="10" xfId="0" applyFont="1" applyFill="1" applyBorder="1" applyAlignment="1">
      <alignment wrapText="1"/>
    </xf>
    <xf numFmtId="0" fontId="4" fillId="0" borderId="10" xfId="0" applyFont="1" applyFill="1" applyBorder="1" applyAlignment="1">
      <alignment horizontal="center"/>
    </xf>
    <xf numFmtId="3" fontId="6" fillId="0" borderId="10" xfId="0"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0" fontId="0" fillId="0" borderId="0" xfId="0" applyFill="1" applyBorder="1" applyAlignment="1">
      <alignment/>
    </xf>
    <xf numFmtId="0" fontId="8" fillId="0" borderId="11" xfId="0" applyFont="1" applyFill="1" applyBorder="1" applyAlignment="1">
      <alignment horizontal="center" wrapText="1"/>
    </xf>
    <xf numFmtId="3" fontId="8" fillId="0" borderId="11" xfId="0" applyNumberFormat="1" applyFont="1" applyFill="1" applyBorder="1" applyAlignment="1">
      <alignment wrapText="1"/>
    </xf>
    <xf numFmtId="0" fontId="0" fillId="0" borderId="0" xfId="0" applyFill="1" applyAlignment="1">
      <alignment wrapText="1"/>
    </xf>
    <xf numFmtId="0" fontId="0" fillId="0" borderId="0" xfId="0" applyFill="1" applyBorder="1" applyAlignment="1">
      <alignment wrapText="1"/>
    </xf>
    <xf numFmtId="0" fontId="8" fillId="0" borderId="11" xfId="0" applyFont="1" applyFill="1" applyBorder="1" applyAlignment="1">
      <alignment wrapText="1"/>
    </xf>
    <xf numFmtId="3" fontId="8" fillId="0" borderId="11" xfId="0" applyNumberFormat="1" applyFont="1" applyFill="1" applyBorder="1" applyAlignment="1">
      <alignment wrapText="1"/>
    </xf>
    <xf numFmtId="0" fontId="20" fillId="0" borderId="0" xfId="0" applyFont="1" applyFill="1" applyAlignment="1">
      <alignment/>
    </xf>
    <xf numFmtId="0" fontId="8" fillId="0" borderId="12" xfId="0" applyFont="1" applyFill="1" applyBorder="1" applyAlignment="1">
      <alignment wrapText="1"/>
    </xf>
    <xf numFmtId="0" fontId="4" fillId="0" borderId="12" xfId="0" applyFont="1" applyFill="1" applyBorder="1" applyAlignment="1">
      <alignment horizontal="center"/>
    </xf>
    <xf numFmtId="3" fontId="8" fillId="0" borderId="12" xfId="0" applyNumberFormat="1" applyFont="1" applyFill="1" applyBorder="1" applyAlignment="1">
      <alignment wrapText="1"/>
    </xf>
    <xf numFmtId="0" fontId="11" fillId="0" borderId="0" xfId="0" applyFont="1" applyFill="1" applyBorder="1" applyAlignment="1">
      <alignment vertical="top"/>
    </xf>
    <xf numFmtId="0" fontId="8" fillId="0" borderId="0" xfId="0" applyFont="1" applyFill="1" applyBorder="1" applyAlignment="1">
      <alignment horizontal="center" vertical="top"/>
    </xf>
    <xf numFmtId="3" fontId="8" fillId="0" borderId="0" xfId="0" applyNumberFormat="1" applyFont="1" applyFill="1" applyBorder="1" applyAlignment="1">
      <alignment vertical="top"/>
    </xf>
    <xf numFmtId="0" fontId="6" fillId="0" borderId="14" xfId="0" applyFont="1" applyFill="1" applyBorder="1" applyAlignment="1">
      <alignment vertical="justify" wrapText="1"/>
    </xf>
    <xf numFmtId="0" fontId="3" fillId="0" borderId="14" xfId="0" applyFont="1" applyFill="1" applyBorder="1" applyAlignment="1">
      <alignment horizontal="center"/>
    </xf>
    <xf numFmtId="3" fontId="6" fillId="0" borderId="14" xfId="0" applyNumberFormat="1" applyFont="1" applyFill="1" applyBorder="1" applyAlignment="1">
      <alignment/>
    </xf>
    <xf numFmtId="0" fontId="11" fillId="0" borderId="0" xfId="0" applyFont="1" applyFill="1" applyAlignment="1">
      <alignment/>
    </xf>
    <xf numFmtId="0" fontId="8" fillId="0" borderId="0" xfId="0" applyFont="1" applyFill="1" applyAlignment="1">
      <alignment/>
    </xf>
    <xf numFmtId="0" fontId="8" fillId="0" borderId="10" xfId="0" applyFont="1" applyFill="1" applyBorder="1" applyAlignment="1">
      <alignment vertical="center"/>
    </xf>
    <xf numFmtId="0" fontId="8" fillId="0" borderId="10" xfId="0" applyFont="1" applyFill="1" applyBorder="1" applyAlignment="1">
      <alignment horizontal="center" vertical="top"/>
    </xf>
    <xf numFmtId="3" fontId="8" fillId="0" borderId="10" xfId="0" applyNumberFormat="1"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applyAlignment="1">
      <alignment horizontal="center" vertical="top"/>
    </xf>
    <xf numFmtId="3" fontId="8" fillId="0" borderId="12" xfId="0" applyNumberFormat="1" applyFont="1" applyFill="1" applyBorder="1" applyAlignment="1">
      <alignment vertical="center"/>
    </xf>
    <xf numFmtId="181" fontId="0" fillId="0" borderId="0" xfId="0" applyNumberFormat="1" applyFill="1" applyAlignment="1">
      <alignment/>
    </xf>
    <xf numFmtId="0" fontId="6" fillId="0" borderId="14" xfId="0" applyFont="1" applyFill="1" applyBorder="1" applyAlignment="1">
      <alignment wrapText="1"/>
    </xf>
    <xf numFmtId="3" fontId="6" fillId="0" borderId="14" xfId="0" applyNumberFormat="1" applyFont="1" applyFill="1" applyBorder="1" applyAlignment="1">
      <alignment/>
    </xf>
    <xf numFmtId="0" fontId="8" fillId="0" borderId="14" xfId="0" applyFont="1" applyBorder="1" applyAlignment="1">
      <alignment horizontal="center" vertical="top"/>
    </xf>
    <xf numFmtId="0" fontId="24" fillId="0" borderId="0" xfId="0" applyFont="1" applyAlignment="1">
      <alignment horizontal="center"/>
    </xf>
    <xf numFmtId="0" fontId="26" fillId="0" borderId="14" xfId="0" applyFont="1" applyBorder="1" applyAlignment="1">
      <alignment horizontal="center"/>
    </xf>
    <xf numFmtId="0" fontId="26" fillId="0" borderId="14" xfId="0" applyFont="1" applyBorder="1" applyAlignment="1">
      <alignment horizontal="center" vertical="center"/>
    </xf>
    <xf numFmtId="0" fontId="26" fillId="0" borderId="14" xfId="0" applyFont="1" applyBorder="1" applyAlignment="1">
      <alignment/>
    </xf>
    <xf numFmtId="0" fontId="26" fillId="0" borderId="14" xfId="0" applyFont="1" applyBorder="1" applyAlignment="1">
      <alignment wrapText="1"/>
    </xf>
    <xf numFmtId="0" fontId="27" fillId="0" borderId="22" xfId="0" applyFont="1" applyBorder="1" applyAlignment="1">
      <alignment/>
    </xf>
    <xf numFmtId="0" fontId="27" fillId="0" borderId="22" xfId="0" applyFont="1" applyBorder="1" applyAlignment="1">
      <alignment horizontal="center"/>
    </xf>
    <xf numFmtId="0" fontId="27" fillId="0" borderId="23" xfId="0" applyFont="1" applyBorder="1" applyAlignment="1">
      <alignment/>
    </xf>
    <xf numFmtId="0" fontId="27" fillId="0" borderId="23" xfId="0" applyFont="1" applyBorder="1" applyAlignment="1">
      <alignment horizontal="center"/>
    </xf>
    <xf numFmtId="3" fontId="26" fillId="0" borderId="14" xfId="0" applyNumberFormat="1" applyFont="1" applyBorder="1" applyAlignment="1">
      <alignment horizontal="right"/>
    </xf>
    <xf numFmtId="3" fontId="27" fillId="0" borderId="22" xfId="0" applyNumberFormat="1" applyFont="1" applyBorder="1" applyAlignment="1">
      <alignment horizontal="right"/>
    </xf>
    <xf numFmtId="3" fontId="27" fillId="0" borderId="23" xfId="0" applyNumberFormat="1" applyFont="1" applyBorder="1" applyAlignment="1">
      <alignment horizontal="right"/>
    </xf>
    <xf numFmtId="0" fontId="27" fillId="0" borderId="22" xfId="0" applyFont="1" applyBorder="1" applyAlignment="1">
      <alignment wrapText="1"/>
    </xf>
    <xf numFmtId="0" fontId="27" fillId="0" borderId="23" xfId="0" applyFont="1" applyBorder="1" applyAlignment="1">
      <alignment wrapText="1"/>
    </xf>
    <xf numFmtId="0" fontId="2" fillId="0" borderId="0" xfId="0" applyFont="1" applyAlignment="1">
      <alignment horizontal="center" vertical="center" wrapText="1"/>
    </xf>
    <xf numFmtId="2" fontId="8" fillId="0" borderId="13" xfId="0" applyNumberFormat="1" applyFont="1" applyBorder="1" applyAlignment="1">
      <alignment horizontal="right" vertical="top"/>
    </xf>
    <xf numFmtId="4" fontId="8" fillId="0" borderId="11" xfId="0" applyNumberFormat="1" applyFont="1" applyFill="1" applyBorder="1" applyAlignment="1">
      <alignment horizontal="right" vertical="top"/>
    </xf>
    <xf numFmtId="2" fontId="0" fillId="0" borderId="0" xfId="0" applyNumberFormat="1" applyFont="1" applyBorder="1" applyAlignment="1">
      <alignment/>
    </xf>
    <xf numFmtId="0" fontId="0" fillId="0" borderId="0" xfId="0" applyFont="1" applyBorder="1" applyAlignment="1">
      <alignment/>
    </xf>
    <xf numFmtId="0" fontId="8" fillId="0" borderId="0" xfId="0" applyFont="1" applyFill="1" applyBorder="1" applyAlignment="1">
      <alignment vertical="center"/>
    </xf>
    <xf numFmtId="3" fontId="0" fillId="0" borderId="0" xfId="0" applyNumberFormat="1" applyFont="1" applyBorder="1" applyAlignment="1">
      <alignment/>
    </xf>
    <xf numFmtId="0" fontId="0" fillId="0" borderId="0" xfId="0" applyFont="1" applyAlignment="1">
      <alignment/>
    </xf>
    <xf numFmtId="3" fontId="0" fillId="0" borderId="0" xfId="0" applyNumberFormat="1" applyFont="1" applyBorder="1" applyAlignment="1">
      <alignment wrapText="1"/>
    </xf>
    <xf numFmtId="0" fontId="8" fillId="0" borderId="0" xfId="0" applyFont="1" applyBorder="1" applyAlignment="1">
      <alignment vertical="center"/>
    </xf>
    <xf numFmtId="3" fontId="2" fillId="34" borderId="11" xfId="0" applyNumberFormat="1" applyFont="1" applyFill="1" applyBorder="1" applyAlignment="1">
      <alignment/>
    </xf>
    <xf numFmtId="0" fontId="0" fillId="0" borderId="18"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181" fontId="0" fillId="0" borderId="0" xfId="42" applyNumberFormat="1" applyFont="1" applyAlignment="1">
      <alignment/>
    </xf>
    <xf numFmtId="0" fontId="12" fillId="0" borderId="18" xfId="0" applyFont="1" applyBorder="1" applyAlignment="1">
      <alignment/>
    </xf>
    <xf numFmtId="0" fontId="0" fillId="0" borderId="21" xfId="0" applyBorder="1" applyAlignment="1">
      <alignment/>
    </xf>
    <xf numFmtId="0" fontId="0" fillId="0" borderId="16" xfId="0" applyBorder="1" applyAlignment="1">
      <alignment/>
    </xf>
    <xf numFmtId="0" fontId="8" fillId="0" borderId="27" xfId="0" applyFont="1" applyBorder="1" applyAlignment="1">
      <alignment horizontal="center"/>
    </xf>
    <xf numFmtId="37" fontId="0" fillId="0" borderId="27" xfId="42" applyNumberFormat="1" applyFont="1" applyBorder="1" applyAlignment="1">
      <alignment horizontal="center"/>
    </xf>
    <xf numFmtId="0" fontId="0" fillId="0" borderId="27" xfId="0" applyBorder="1" applyAlignment="1">
      <alignment/>
    </xf>
    <xf numFmtId="37" fontId="0" fillId="0" borderId="27" xfId="0" applyNumberFormat="1" applyBorder="1" applyAlignment="1">
      <alignment horizontal="center"/>
    </xf>
    <xf numFmtId="181" fontId="0" fillId="0" borderId="27" xfId="42" applyNumberFormat="1" applyFont="1" applyBorder="1" applyAlignment="1">
      <alignment/>
    </xf>
    <xf numFmtId="0" fontId="12" fillId="0" borderId="28" xfId="0" applyFont="1" applyBorder="1" applyAlignment="1">
      <alignment/>
    </xf>
    <xf numFmtId="37" fontId="0" fillId="0" borderId="29" xfId="42" applyNumberFormat="1" applyFont="1" applyBorder="1" applyAlignment="1">
      <alignment horizontal="center"/>
    </xf>
    <xf numFmtId="0" fontId="0" fillId="0" borderId="28" xfId="0" applyBorder="1" applyAlignment="1">
      <alignment/>
    </xf>
    <xf numFmtId="37" fontId="0" fillId="0" borderId="29" xfId="0" applyNumberFormat="1" applyBorder="1" applyAlignment="1">
      <alignment horizontal="center"/>
    </xf>
    <xf numFmtId="181" fontId="0" fillId="0" borderId="29" xfId="42" applyNumberFormat="1" applyFont="1" applyBorder="1" applyAlignment="1">
      <alignment/>
    </xf>
    <xf numFmtId="37" fontId="0" fillId="0" borderId="27" xfId="42" applyNumberFormat="1" applyFont="1" applyFill="1" applyBorder="1" applyAlignment="1">
      <alignment horizontal="center"/>
    </xf>
    <xf numFmtId="182" fontId="0" fillId="0" borderId="0" xfId="0" applyNumberFormat="1" applyAlignment="1">
      <alignment/>
    </xf>
    <xf numFmtId="0" fontId="12" fillId="0" borderId="28" xfId="0" applyFont="1" applyBorder="1" applyAlignment="1">
      <alignment wrapText="1"/>
    </xf>
    <xf numFmtId="177" fontId="0" fillId="0" borderId="29" xfId="42" applyFont="1" applyBorder="1" applyAlignment="1">
      <alignment horizontal="center"/>
    </xf>
    <xf numFmtId="3" fontId="2" fillId="0" borderId="12" xfId="0" applyNumberFormat="1" applyFont="1" applyFill="1" applyBorder="1" applyAlignment="1">
      <alignment horizontal="center"/>
    </xf>
    <xf numFmtId="3" fontId="2" fillId="0" borderId="12" xfId="0" applyNumberFormat="1" applyFont="1" applyFill="1" applyBorder="1" applyAlignment="1">
      <alignment horizontal="center"/>
    </xf>
    <xf numFmtId="0" fontId="8"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37" fontId="0" fillId="0" borderId="29" xfId="42" applyNumberFormat="1" applyFont="1" applyFill="1" applyBorder="1" applyAlignment="1">
      <alignment horizontal="center"/>
    </xf>
    <xf numFmtId="0" fontId="7" fillId="0" borderId="13" xfId="0" applyFont="1" applyBorder="1" applyAlignment="1">
      <alignment/>
    </xf>
    <xf numFmtId="2" fontId="8" fillId="34" borderId="11" xfId="0" applyNumberFormat="1" applyFont="1" applyFill="1" applyBorder="1" applyAlignment="1">
      <alignment vertical="top"/>
    </xf>
    <xf numFmtId="2" fontId="0" fillId="0" borderId="0" xfId="0" applyNumberFormat="1" applyAlignment="1">
      <alignment/>
    </xf>
    <xf numFmtId="2" fontId="11" fillId="0" borderId="0" xfId="0" applyNumberFormat="1" applyFont="1" applyAlignment="1">
      <alignment/>
    </xf>
    <xf numFmtId="2" fontId="8" fillId="0" borderId="0" xfId="0" applyNumberFormat="1" applyFont="1" applyAlignment="1">
      <alignment/>
    </xf>
    <xf numFmtId="10" fontId="6" fillId="0" borderId="0" xfId="62" applyNumberFormat="1" applyFont="1" applyBorder="1" applyAlignment="1">
      <alignment/>
    </xf>
    <xf numFmtId="10" fontId="7" fillId="0" borderId="0" xfId="62" applyNumberFormat="1" applyFont="1" applyBorder="1" applyAlignment="1">
      <alignment/>
    </xf>
    <xf numFmtId="10" fontId="8" fillId="0" borderId="0" xfId="62" applyNumberFormat="1" applyFont="1" applyBorder="1" applyAlignment="1">
      <alignment/>
    </xf>
    <xf numFmtId="3" fontId="6" fillId="0" borderId="10" xfId="0" applyNumberFormat="1" applyFont="1" applyFill="1" applyBorder="1" applyAlignment="1">
      <alignment/>
    </xf>
    <xf numFmtId="3" fontId="7" fillId="0" borderId="0" xfId="0" applyNumberFormat="1" applyFont="1" applyFill="1" applyBorder="1" applyAlignment="1">
      <alignment vertical="top"/>
    </xf>
    <xf numFmtId="3" fontId="8" fillId="0" borderId="21" xfId="0" applyNumberFormat="1" applyFont="1" applyFill="1" applyBorder="1" applyAlignment="1">
      <alignment vertical="top"/>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4" fontId="8" fillId="0" borderId="11" xfId="0" applyNumberFormat="1" applyFont="1" applyFill="1" applyBorder="1" applyAlignment="1">
      <alignment vertical="top"/>
    </xf>
    <xf numFmtId="2" fontId="8" fillId="0" borderId="13" xfId="0" applyNumberFormat="1" applyFont="1" applyFill="1" applyBorder="1" applyAlignment="1">
      <alignment horizontal="right" vertical="top"/>
    </xf>
    <xf numFmtId="4" fontId="8" fillId="0" borderId="13" xfId="0" applyNumberFormat="1" applyFont="1" applyFill="1" applyBorder="1" applyAlignment="1">
      <alignment vertical="top"/>
    </xf>
    <xf numFmtId="2" fontId="8" fillId="0" borderId="12" xfId="0" applyNumberFormat="1" applyFont="1" applyFill="1" applyBorder="1" applyAlignment="1">
      <alignment vertical="top"/>
    </xf>
    <xf numFmtId="4" fontId="8" fillId="0" borderId="12" xfId="0" applyNumberFormat="1" applyFont="1" applyFill="1" applyBorder="1" applyAlignment="1">
      <alignment vertical="top"/>
    </xf>
    <xf numFmtId="0" fontId="0" fillId="0" borderId="0" xfId="0" applyFill="1" applyAlignment="1">
      <alignment vertical="top"/>
    </xf>
    <xf numFmtId="3" fontId="6" fillId="0" borderId="10" xfId="0" applyNumberFormat="1" applyFont="1" applyFill="1" applyBorder="1" applyAlignment="1">
      <alignment vertical="top"/>
    </xf>
    <xf numFmtId="3" fontId="6" fillId="0" borderId="0" xfId="0" applyNumberFormat="1" applyFont="1" applyFill="1" applyBorder="1" applyAlignment="1">
      <alignment vertical="top"/>
    </xf>
    <xf numFmtId="0" fontId="13" fillId="0" borderId="0" xfId="0" applyFont="1" applyFill="1" applyAlignment="1">
      <alignment/>
    </xf>
    <xf numFmtId="3" fontId="7" fillId="0" borderId="0" xfId="0" applyNumberFormat="1" applyFont="1" applyFill="1" applyBorder="1" applyAlignment="1">
      <alignment/>
    </xf>
    <xf numFmtId="3" fontId="8" fillId="0" borderId="11" xfId="0" applyNumberFormat="1" applyFont="1" applyFill="1" applyBorder="1" applyAlignment="1">
      <alignment vertical="top"/>
    </xf>
    <xf numFmtId="4" fontId="8" fillId="34" borderId="11" xfId="0" applyNumberFormat="1" applyFont="1" applyFill="1" applyBorder="1" applyAlignment="1">
      <alignment vertical="top"/>
    </xf>
    <xf numFmtId="3" fontId="7" fillId="34" borderId="13" xfId="0" applyNumberFormat="1" applyFont="1" applyFill="1" applyBorder="1" applyAlignment="1">
      <alignment/>
    </xf>
    <xf numFmtId="3" fontId="6" fillId="34" borderId="13" xfId="0" applyNumberFormat="1" applyFont="1" applyFill="1" applyBorder="1" applyAlignment="1">
      <alignment/>
    </xf>
    <xf numFmtId="2" fontId="12" fillId="0" borderId="0" xfId="0" applyNumberFormat="1" applyFont="1" applyBorder="1" applyAlignment="1">
      <alignment/>
    </xf>
    <xf numFmtId="3" fontId="7" fillId="34" borderId="11" xfId="0" applyNumberFormat="1" applyFont="1" applyFill="1" applyBorder="1" applyAlignment="1">
      <alignment vertical="top"/>
    </xf>
    <xf numFmtId="3" fontId="8" fillId="34" borderId="11" xfId="0" applyNumberFormat="1" applyFont="1" applyFill="1" applyBorder="1" applyAlignment="1">
      <alignment vertical="top" wrapText="1"/>
    </xf>
    <xf numFmtId="3" fontId="95" fillId="0" borderId="0" xfId="0" applyNumberFormat="1" applyFont="1" applyAlignment="1">
      <alignment/>
    </xf>
    <xf numFmtId="0" fontId="6" fillId="33" borderId="10" xfId="0" applyFont="1" applyFill="1" applyBorder="1" applyAlignment="1">
      <alignment wrapText="1"/>
    </xf>
    <xf numFmtId="0" fontId="4" fillId="33" borderId="10" xfId="0" applyFont="1" applyFill="1" applyBorder="1" applyAlignment="1">
      <alignment horizontal="center"/>
    </xf>
    <xf numFmtId="3" fontId="6" fillId="0" borderId="10" xfId="0" applyNumberFormat="1" applyFont="1" applyBorder="1" applyAlignment="1">
      <alignment/>
    </xf>
    <xf numFmtId="0" fontId="8" fillId="0" borderId="11" xfId="0" applyFont="1" applyBorder="1" applyAlignment="1">
      <alignment wrapText="1"/>
    </xf>
    <xf numFmtId="0" fontId="8" fillId="0" borderId="11" xfId="0" applyFont="1" applyBorder="1" applyAlignment="1">
      <alignment horizontal="center" wrapText="1"/>
    </xf>
    <xf numFmtId="3" fontId="8" fillId="0" borderId="11" xfId="0" applyNumberFormat="1" applyFont="1" applyBorder="1" applyAlignment="1">
      <alignment wrapText="1"/>
    </xf>
    <xf numFmtId="0" fontId="8" fillId="0" borderId="11" xfId="0" applyFont="1" applyBorder="1" applyAlignment="1">
      <alignment wrapText="1"/>
    </xf>
    <xf numFmtId="3" fontId="8" fillId="0" borderId="11" xfId="0" applyNumberFormat="1" applyFont="1" applyBorder="1" applyAlignment="1">
      <alignment wrapText="1"/>
    </xf>
    <xf numFmtId="0" fontId="8" fillId="0" borderId="12" xfId="0" applyFont="1" applyBorder="1" applyAlignment="1">
      <alignment wrapText="1"/>
    </xf>
    <xf numFmtId="0" fontId="4" fillId="0" borderId="12" xfId="0" applyFont="1" applyBorder="1" applyAlignment="1">
      <alignment horizontal="center"/>
    </xf>
    <xf numFmtId="3" fontId="8" fillId="0" borderId="12" xfId="0" applyNumberFormat="1" applyFont="1" applyBorder="1" applyAlignment="1">
      <alignment wrapText="1"/>
    </xf>
    <xf numFmtId="3" fontId="96" fillId="0" borderId="0" xfId="0" applyNumberFormat="1" applyFont="1" applyBorder="1" applyAlignment="1">
      <alignment vertical="top"/>
    </xf>
    <xf numFmtId="0" fontId="95" fillId="0" borderId="0" xfId="0" applyFont="1" applyAlignment="1">
      <alignment/>
    </xf>
    <xf numFmtId="3" fontId="95" fillId="0" borderId="0" xfId="0" applyNumberFormat="1" applyFont="1" applyAlignment="1">
      <alignment/>
    </xf>
    <xf numFmtId="0" fontId="12"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18" fillId="0" borderId="0" xfId="0" applyFont="1" applyFill="1" applyAlignment="1">
      <alignment/>
    </xf>
    <xf numFmtId="0" fontId="6" fillId="0" borderId="10" xfId="0" applyFont="1" applyFill="1" applyBorder="1" applyAlignment="1">
      <alignment/>
    </xf>
    <xf numFmtId="0" fontId="2" fillId="0" borderId="10" xfId="0" applyFont="1" applyFill="1" applyBorder="1" applyAlignment="1">
      <alignment horizontal="center"/>
    </xf>
    <xf numFmtId="3" fontId="6" fillId="0" borderId="13" xfId="0" applyNumberFormat="1" applyFont="1" applyFill="1" applyBorder="1" applyAlignment="1">
      <alignment/>
    </xf>
    <xf numFmtId="10" fontId="21" fillId="0" borderId="10" xfId="0" applyNumberFormat="1" applyFont="1" applyFill="1" applyBorder="1" applyAlignment="1">
      <alignment/>
    </xf>
    <xf numFmtId="0" fontId="7" fillId="0" borderId="11" xfId="0" applyFont="1" applyFill="1" applyBorder="1" applyAlignment="1">
      <alignment/>
    </xf>
    <xf numFmtId="10" fontId="22" fillId="0" borderId="11" xfId="0" applyNumberFormat="1" applyFont="1" applyFill="1" applyBorder="1" applyAlignment="1">
      <alignment/>
    </xf>
    <xf numFmtId="0" fontId="9" fillId="0" borderId="0" xfId="0" applyFont="1" applyFill="1" applyAlignment="1">
      <alignment/>
    </xf>
    <xf numFmtId="0" fontId="2" fillId="0" borderId="0" xfId="0" applyFont="1" applyFill="1" applyAlignment="1">
      <alignment/>
    </xf>
    <xf numFmtId="0" fontId="9" fillId="0" borderId="0" xfId="0" applyFont="1" applyFill="1" applyBorder="1" applyAlignment="1">
      <alignment/>
    </xf>
    <xf numFmtId="0" fontId="7" fillId="0" borderId="13" xfId="0" applyFont="1" applyFill="1" applyBorder="1" applyAlignment="1">
      <alignment/>
    </xf>
    <xf numFmtId="3" fontId="7" fillId="0" borderId="13" xfId="0" applyNumberFormat="1" applyFont="1" applyFill="1" applyBorder="1" applyAlignment="1">
      <alignment/>
    </xf>
    <xf numFmtId="0" fontId="7" fillId="0" borderId="13" xfId="0" applyFont="1" applyFill="1" applyBorder="1" applyAlignment="1">
      <alignment/>
    </xf>
    <xf numFmtId="0" fontId="8" fillId="0" borderId="13" xfId="0" applyFont="1" applyFill="1" applyBorder="1" applyAlignment="1">
      <alignment horizontal="center"/>
    </xf>
    <xf numFmtId="3" fontId="7" fillId="0" borderId="20" xfId="0" applyNumberFormat="1" applyFont="1" applyFill="1" applyBorder="1" applyAlignment="1">
      <alignment/>
    </xf>
    <xf numFmtId="10" fontId="22" fillId="0" borderId="12" xfId="0" applyNumberFormat="1" applyFont="1" applyFill="1" applyBorder="1" applyAlignment="1">
      <alignment/>
    </xf>
    <xf numFmtId="0" fontId="8" fillId="0" borderId="11" xfId="0" applyFont="1" applyFill="1" applyBorder="1" applyAlignment="1">
      <alignment vertical="top"/>
    </xf>
    <xf numFmtId="0" fontId="8" fillId="0" borderId="11" xfId="0" applyFont="1" applyFill="1" applyBorder="1" applyAlignment="1">
      <alignment horizontal="center" vertical="top"/>
    </xf>
    <xf numFmtId="3" fontId="8" fillId="0" borderId="11" xfId="0" applyNumberFormat="1" applyFont="1" applyFill="1" applyBorder="1" applyAlignment="1">
      <alignment vertical="top"/>
    </xf>
    <xf numFmtId="17" fontId="12" fillId="0" borderId="0" xfId="0" applyNumberFormat="1" applyFont="1" applyFill="1" applyBorder="1" applyAlignment="1">
      <alignment/>
    </xf>
    <xf numFmtId="0" fontId="7" fillId="0" borderId="16" xfId="0" applyFont="1" applyFill="1" applyBorder="1" applyAlignment="1">
      <alignment vertical="top" wrapText="1"/>
    </xf>
    <xf numFmtId="0" fontId="8" fillId="0" borderId="16" xfId="0" applyFont="1" applyFill="1" applyBorder="1" applyAlignment="1">
      <alignment vertical="top"/>
    </xf>
    <xf numFmtId="0" fontId="0" fillId="0" borderId="16" xfId="0" applyFill="1" applyBorder="1" applyAlignment="1">
      <alignment vertical="top"/>
    </xf>
    <xf numFmtId="0" fontId="19" fillId="0" borderId="0" xfId="0" applyFont="1" applyFill="1" applyAlignment="1">
      <alignment/>
    </xf>
    <xf numFmtId="180" fontId="0" fillId="0" borderId="0" xfId="0" applyNumberFormat="1" applyFill="1" applyBorder="1" applyAlignment="1">
      <alignment/>
    </xf>
    <xf numFmtId="0" fontId="12" fillId="0" borderId="17" xfId="0" applyFont="1" applyFill="1" applyBorder="1" applyAlignment="1">
      <alignment vertical="center" wrapText="1"/>
    </xf>
    <xf numFmtId="0" fontId="8"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10" xfId="0" applyFont="1" applyFill="1" applyBorder="1" applyAlignment="1">
      <alignment/>
    </xf>
    <xf numFmtId="3" fontId="95" fillId="0" borderId="0" xfId="0" applyNumberFormat="1" applyFont="1" applyFill="1" applyAlignment="1">
      <alignment/>
    </xf>
    <xf numFmtId="3" fontId="9" fillId="0" borderId="0" xfId="0" applyNumberFormat="1" applyFont="1" applyFill="1" applyAlignment="1">
      <alignment/>
    </xf>
    <xf numFmtId="0" fontId="9" fillId="0" borderId="0" xfId="0" applyFont="1" applyFill="1" applyAlignment="1">
      <alignment/>
    </xf>
    <xf numFmtId="0" fontId="7" fillId="0" borderId="11" xfId="0" applyFont="1" applyFill="1" applyBorder="1" applyAlignment="1">
      <alignment/>
    </xf>
    <xf numFmtId="10" fontId="9" fillId="0" borderId="0" xfId="62" applyNumberFormat="1" applyFont="1" applyFill="1" applyAlignment="1">
      <alignment/>
    </xf>
    <xf numFmtId="0" fontId="7" fillId="0" borderId="12" xfId="0" applyFont="1" applyFill="1" applyBorder="1" applyAlignment="1">
      <alignment/>
    </xf>
    <xf numFmtId="0" fontId="8" fillId="0" borderId="12" xfId="0" applyFont="1" applyFill="1" applyBorder="1" applyAlignment="1">
      <alignment horizontal="center"/>
    </xf>
    <xf numFmtId="0" fontId="7" fillId="0" borderId="0" xfId="0" applyFont="1" applyFill="1" applyBorder="1" applyAlignment="1">
      <alignment vertical="top"/>
    </xf>
    <xf numFmtId="3" fontId="9" fillId="0" borderId="0" xfId="0" applyNumberFormat="1" applyFont="1" applyFill="1" applyAlignment="1">
      <alignment/>
    </xf>
    <xf numFmtId="0" fontId="8" fillId="0" borderId="15" xfId="0" applyFont="1" applyFill="1" applyBorder="1" applyAlignment="1">
      <alignment horizontal="center" vertical="center"/>
    </xf>
    <xf numFmtId="0" fontId="6" fillId="0" borderId="10" xfId="0" applyFont="1" applyFill="1" applyBorder="1" applyAlignment="1">
      <alignment vertical="top"/>
    </xf>
    <xf numFmtId="0" fontId="4" fillId="0" borderId="19" xfId="0" applyFont="1" applyFill="1" applyBorder="1" applyAlignment="1">
      <alignment horizontal="center" vertical="center"/>
    </xf>
    <xf numFmtId="4" fontId="0" fillId="0" borderId="0" xfId="0" applyNumberFormat="1" applyFill="1" applyAlignment="1">
      <alignment/>
    </xf>
    <xf numFmtId="0" fontId="10" fillId="0" borderId="13" xfId="0" applyFont="1" applyFill="1" applyBorder="1" applyAlignment="1">
      <alignment vertical="top"/>
    </xf>
    <xf numFmtId="0" fontId="8" fillId="0" borderId="13" xfId="0" applyFont="1" applyFill="1" applyBorder="1" applyAlignment="1">
      <alignment horizontal="center" vertical="top"/>
    </xf>
    <xf numFmtId="4" fontId="9" fillId="0" borderId="0" xfId="0" applyNumberFormat="1" applyFont="1" applyFill="1" applyAlignment="1">
      <alignment/>
    </xf>
    <xf numFmtId="0" fontId="10" fillId="0" borderId="11" xfId="0" applyFont="1" applyFill="1" applyBorder="1" applyAlignment="1">
      <alignment vertical="top"/>
    </xf>
    <xf numFmtId="2" fontId="8" fillId="0" borderId="13" xfId="0" applyNumberFormat="1" applyFont="1" applyFill="1" applyBorder="1" applyAlignment="1">
      <alignment vertical="top"/>
    </xf>
    <xf numFmtId="0" fontId="10" fillId="0" borderId="12"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xf>
    <xf numFmtId="0" fontId="6" fillId="0" borderId="10" xfId="0" applyFont="1" applyFill="1" applyBorder="1" applyAlignment="1">
      <alignment vertical="top" wrapText="1"/>
    </xf>
    <xf numFmtId="0" fontId="4" fillId="0" borderId="10" xfId="0" applyFont="1" applyFill="1" applyBorder="1" applyAlignment="1">
      <alignment horizontal="center" vertical="top"/>
    </xf>
    <xf numFmtId="180" fontId="0" fillId="0" borderId="0" xfId="0" applyNumberFormat="1" applyFill="1" applyAlignment="1">
      <alignment/>
    </xf>
    <xf numFmtId="0" fontId="7" fillId="0" borderId="11" xfId="0" applyFont="1" applyFill="1" applyBorder="1" applyAlignment="1">
      <alignment vertical="top"/>
    </xf>
    <xf numFmtId="3" fontId="7" fillId="0" borderId="11" xfId="0" applyNumberFormat="1" applyFont="1" applyFill="1" applyBorder="1" applyAlignment="1">
      <alignment vertical="top"/>
    </xf>
    <xf numFmtId="0" fontId="8" fillId="0" borderId="11" xfId="0" applyFont="1" applyFill="1" applyBorder="1" applyAlignment="1">
      <alignment vertical="top"/>
    </xf>
    <xf numFmtId="3" fontId="8" fillId="0" borderId="11" xfId="0" applyNumberFormat="1" applyFont="1" applyFill="1" applyBorder="1" applyAlignment="1">
      <alignment vertical="top" wrapText="1"/>
    </xf>
    <xf numFmtId="3" fontId="8" fillId="0" borderId="0" xfId="0" applyNumberFormat="1" applyFont="1" applyFill="1" applyBorder="1" applyAlignment="1">
      <alignment vertical="top" wrapText="1"/>
    </xf>
    <xf numFmtId="2" fontId="0" fillId="0" borderId="0" xfId="0" applyNumberFormat="1" applyFill="1" applyAlignment="1">
      <alignment/>
    </xf>
    <xf numFmtId="0" fontId="8" fillId="0" borderId="11" xfId="0" applyFont="1" applyFill="1" applyBorder="1" applyAlignment="1">
      <alignment vertical="top"/>
    </xf>
    <xf numFmtId="2" fontId="11" fillId="0" borderId="0" xfId="0" applyNumberFormat="1" applyFont="1" applyFill="1" applyAlignment="1">
      <alignment/>
    </xf>
    <xf numFmtId="0" fontId="8" fillId="0" borderId="12" xfId="0" applyFont="1" applyFill="1" applyBorder="1" applyAlignment="1">
      <alignment vertical="top"/>
    </xf>
    <xf numFmtId="3" fontId="8" fillId="0" borderId="12" xfId="0" applyNumberFormat="1" applyFont="1" applyFill="1" applyBorder="1" applyAlignment="1">
      <alignment vertical="top"/>
    </xf>
    <xf numFmtId="2" fontId="8" fillId="0" borderId="0" xfId="0" applyNumberFormat="1" applyFont="1" applyFill="1" applyAlignment="1">
      <alignment/>
    </xf>
    <xf numFmtId="3" fontId="96" fillId="0" borderId="0" xfId="0" applyNumberFormat="1" applyFont="1" applyFill="1" applyBorder="1" applyAlignment="1">
      <alignment vertical="top"/>
    </xf>
    <xf numFmtId="0" fontId="95" fillId="0" borderId="0" xfId="0" applyFont="1" applyFill="1" applyAlignment="1">
      <alignment/>
    </xf>
    <xf numFmtId="3" fontId="95" fillId="0" borderId="0" xfId="0" applyNumberFormat="1" applyFont="1" applyFill="1" applyAlignment="1">
      <alignment/>
    </xf>
    <xf numFmtId="0" fontId="8" fillId="0" borderId="14" xfId="0" applyFont="1" applyFill="1" applyBorder="1" applyAlignment="1">
      <alignment horizontal="center" vertical="top"/>
    </xf>
    <xf numFmtId="9" fontId="7" fillId="0" borderId="0" xfId="62" applyFont="1" applyFill="1" applyBorder="1" applyAlignment="1">
      <alignment vertical="top"/>
    </xf>
    <xf numFmtId="9" fontId="7" fillId="0" borderId="0" xfId="62" applyNumberFormat="1" applyFont="1" applyFill="1" applyBorder="1" applyAlignment="1">
      <alignment/>
    </xf>
    <xf numFmtId="9" fontId="7" fillId="0" borderId="0" xfId="62" applyNumberFormat="1" applyFont="1" applyFill="1" applyBorder="1" applyAlignment="1">
      <alignment vertical="top"/>
    </xf>
    <xf numFmtId="3" fontId="96" fillId="0" borderId="0" xfId="0" applyNumberFormat="1" applyFont="1" applyBorder="1" applyAlignment="1">
      <alignment/>
    </xf>
    <xf numFmtId="0" fontId="0" fillId="0" borderId="0" xfId="0" applyBorder="1" applyAlignment="1">
      <alignment vertical="top"/>
    </xf>
    <xf numFmtId="0" fontId="97" fillId="0" borderId="0" xfId="0" applyFont="1" applyBorder="1" applyAlignment="1">
      <alignment/>
    </xf>
    <xf numFmtId="3" fontId="97" fillId="0" borderId="0" xfId="0" applyNumberFormat="1" applyFont="1" applyBorder="1" applyAlignment="1">
      <alignment/>
    </xf>
    <xf numFmtId="0" fontId="97" fillId="0" borderId="0" xfId="0" applyFont="1" applyBorder="1" applyAlignment="1">
      <alignment/>
    </xf>
    <xf numFmtId="3" fontId="98" fillId="0" borderId="0" xfId="0" applyNumberFormat="1" applyFont="1" applyBorder="1" applyAlignment="1">
      <alignment/>
    </xf>
    <xf numFmtId="0" fontId="99" fillId="0" borderId="0" xfId="0" applyFont="1" applyFill="1" applyAlignment="1">
      <alignment/>
    </xf>
    <xf numFmtId="177" fontId="7" fillId="0" borderId="0" xfId="42" applyFont="1" applyFill="1" applyBorder="1" applyAlignment="1">
      <alignment/>
    </xf>
    <xf numFmtId="177" fontId="8" fillId="0" borderId="0" xfId="42" applyFont="1" applyFill="1" applyBorder="1" applyAlignment="1">
      <alignment vertical="top"/>
    </xf>
    <xf numFmtId="177" fontId="7" fillId="0" borderId="0" xfId="42" applyFont="1" applyFill="1" applyBorder="1" applyAlignment="1">
      <alignment vertical="top"/>
    </xf>
    <xf numFmtId="177" fontId="8" fillId="0" borderId="0" xfId="42" applyFont="1" applyFill="1" applyBorder="1" applyAlignment="1">
      <alignment vertical="top" wrapText="1"/>
    </xf>
    <xf numFmtId="3" fontId="100" fillId="0" borderId="0" xfId="0" applyNumberFormat="1" applyFont="1" applyFill="1" applyBorder="1" applyAlignment="1">
      <alignment vertical="top"/>
    </xf>
    <xf numFmtId="3" fontId="99" fillId="0" borderId="0" xfId="0" applyNumberFormat="1" applyFont="1" applyBorder="1" applyAlignment="1">
      <alignment/>
    </xf>
    <xf numFmtId="3" fontId="99" fillId="0" borderId="0" xfId="0" applyNumberFormat="1" applyFont="1" applyAlignment="1">
      <alignment/>
    </xf>
    <xf numFmtId="10" fontId="98" fillId="0" borderId="0" xfId="62" applyNumberFormat="1" applyFont="1" applyBorder="1" applyAlignment="1">
      <alignment/>
    </xf>
    <xf numFmtId="9" fontId="99" fillId="0" borderId="0" xfId="62" applyNumberFormat="1" applyFont="1" applyFill="1" applyAlignment="1">
      <alignment/>
    </xf>
    <xf numFmtId="0" fontId="97" fillId="0" borderId="0" xfId="0" applyFont="1" applyFill="1" applyAlignment="1">
      <alignment/>
    </xf>
    <xf numFmtId="2" fontId="97" fillId="0" borderId="0" xfId="0" applyNumberFormat="1" applyFont="1" applyBorder="1" applyAlignment="1">
      <alignment/>
    </xf>
    <xf numFmtId="10" fontId="101" fillId="0" borderId="0" xfId="62" applyNumberFormat="1" applyFont="1" applyBorder="1" applyAlignment="1">
      <alignment/>
    </xf>
    <xf numFmtId="3" fontId="101" fillId="0" borderId="0" xfId="0" applyNumberFormat="1" applyFont="1" applyBorder="1" applyAlignment="1">
      <alignment/>
    </xf>
    <xf numFmtId="0" fontId="99" fillId="0" borderId="0" xfId="0" applyFont="1" applyBorder="1" applyAlignment="1">
      <alignment/>
    </xf>
    <xf numFmtId="3" fontId="8" fillId="0" borderId="0" xfId="0" applyNumberFormat="1" applyFont="1" applyAlignment="1">
      <alignment horizontal="center" wrapText="1"/>
    </xf>
    <xf numFmtId="0" fontId="0" fillId="0" borderId="0" xfId="0" applyFont="1" applyFill="1" applyAlignment="1">
      <alignment/>
    </xf>
    <xf numFmtId="3" fontId="0" fillId="0" borderId="0" xfId="0" applyNumberFormat="1" applyFont="1" applyBorder="1" applyAlignment="1">
      <alignment/>
    </xf>
    <xf numFmtId="10" fontId="9" fillId="0" borderId="0" xfId="63" applyNumberFormat="1" applyFont="1" applyAlignment="1">
      <alignment/>
    </xf>
    <xf numFmtId="9" fontId="9" fillId="0" borderId="0" xfId="62" applyNumberFormat="1" applyFont="1" applyFill="1" applyAlignment="1">
      <alignment/>
    </xf>
    <xf numFmtId="9" fontId="9" fillId="0" borderId="0" xfId="62" applyNumberFormat="1" applyFont="1" applyFill="1" applyAlignment="1">
      <alignment/>
    </xf>
    <xf numFmtId="0" fontId="28" fillId="0" borderId="0" xfId="0" applyFont="1" applyFill="1" applyAlignment="1">
      <alignment horizontal="left" wrapText="1"/>
    </xf>
    <xf numFmtId="10" fontId="8" fillId="0" borderId="0" xfId="62" applyNumberFormat="1" applyFont="1" applyAlignment="1">
      <alignment horizontal="center" wrapText="1"/>
    </xf>
    <xf numFmtId="10" fontId="99" fillId="0" borderId="0" xfId="62" applyNumberFormat="1" applyFont="1" applyAlignment="1">
      <alignment/>
    </xf>
    <xf numFmtId="0" fontId="0" fillId="0" borderId="0" xfId="0" applyFont="1" applyBorder="1" applyAlignment="1">
      <alignment horizont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4" fontId="8" fillId="0" borderId="0" xfId="0" applyNumberFormat="1" applyFont="1" applyFill="1" applyBorder="1" applyAlignment="1">
      <alignment vertical="top"/>
    </xf>
    <xf numFmtId="2" fontId="8" fillId="0" borderId="0" xfId="0" applyNumberFormat="1" applyFont="1" applyFill="1" applyBorder="1" applyAlignment="1">
      <alignment vertical="top"/>
    </xf>
    <xf numFmtId="1" fontId="9" fillId="0" borderId="0" xfId="0" applyNumberFormat="1" applyFont="1" applyAlignment="1">
      <alignment/>
    </xf>
    <xf numFmtId="177" fontId="7" fillId="0" borderId="0" xfId="42" applyFont="1" applyBorder="1" applyAlignment="1">
      <alignment/>
    </xf>
    <xf numFmtId="177" fontId="8" fillId="0" borderId="0" xfId="42" applyFont="1" applyBorder="1" applyAlignment="1">
      <alignment/>
    </xf>
    <xf numFmtId="183" fontId="2" fillId="0" borderId="0" xfId="0" applyNumberFormat="1" applyFont="1" applyFill="1" applyAlignment="1">
      <alignment/>
    </xf>
    <xf numFmtId="183" fontId="9" fillId="0" borderId="0" xfId="0" applyNumberFormat="1" applyFont="1" applyFill="1" applyAlignment="1">
      <alignment/>
    </xf>
    <xf numFmtId="181" fontId="9" fillId="0" borderId="0" xfId="42" applyNumberFormat="1" applyFont="1" applyAlignment="1">
      <alignment/>
    </xf>
    <xf numFmtId="0" fontId="10" fillId="0" borderId="33" xfId="0" applyFont="1" applyFill="1" applyBorder="1" applyAlignment="1">
      <alignment vertical="top"/>
    </xf>
    <xf numFmtId="0" fontId="8" fillId="0" borderId="33" xfId="0" applyFont="1" applyFill="1" applyBorder="1" applyAlignment="1">
      <alignment horizontal="center" vertical="top"/>
    </xf>
    <xf numFmtId="2" fontId="8" fillId="0" borderId="33" xfId="0" applyNumberFormat="1" applyFont="1" applyFill="1" applyBorder="1" applyAlignment="1">
      <alignment horizontal="right" vertical="top"/>
    </xf>
    <xf numFmtId="4" fontId="8" fillId="0" borderId="33" xfId="0" applyNumberFormat="1" applyFont="1" applyFill="1" applyBorder="1" applyAlignment="1">
      <alignment vertical="top"/>
    </xf>
    <xf numFmtId="2" fontId="8" fillId="0" borderId="33" xfId="0" applyNumberFormat="1" applyFont="1" applyFill="1" applyBorder="1" applyAlignment="1">
      <alignment vertical="top"/>
    </xf>
    <xf numFmtId="0" fontId="7" fillId="0" borderId="33" xfId="0" applyFont="1" applyFill="1" applyBorder="1" applyAlignment="1">
      <alignment/>
    </xf>
    <xf numFmtId="0" fontId="8" fillId="0" borderId="33" xfId="0" applyFont="1" applyFill="1" applyBorder="1" applyAlignment="1">
      <alignment horizontal="center"/>
    </xf>
    <xf numFmtId="3" fontId="7" fillId="0" borderId="33" xfId="0" applyNumberFormat="1" applyFont="1" applyFill="1" applyBorder="1" applyAlignment="1">
      <alignment/>
    </xf>
    <xf numFmtId="0" fontId="7" fillId="0" borderId="12" xfId="0" applyFont="1" applyFill="1" applyBorder="1" applyAlignment="1">
      <alignment/>
    </xf>
    <xf numFmtId="3" fontId="7" fillId="0" borderId="12" xfId="0" applyNumberFormat="1" applyFont="1" applyFill="1" applyBorder="1" applyAlignment="1">
      <alignment/>
    </xf>
    <xf numFmtId="0" fontId="96" fillId="0" borderId="0" xfId="0" applyFont="1" applyFill="1" applyAlignment="1">
      <alignment/>
    </xf>
    <xf numFmtId="0" fontId="102" fillId="0" borderId="0" xfId="0" applyFont="1" applyFill="1" applyAlignment="1">
      <alignment/>
    </xf>
    <xf numFmtId="0" fontId="103" fillId="0" borderId="0" xfId="0" applyFont="1" applyFill="1" applyAlignment="1">
      <alignment/>
    </xf>
    <xf numFmtId="0" fontId="103" fillId="0" borderId="0" xfId="0" applyFont="1" applyFill="1" applyBorder="1" applyAlignment="1">
      <alignment vertical="center"/>
    </xf>
    <xf numFmtId="0" fontId="28" fillId="0" borderId="0" xfId="0" applyFont="1" applyFill="1" applyAlignment="1">
      <alignment wrapText="1"/>
    </xf>
    <xf numFmtId="3" fontId="8" fillId="0" borderId="0" xfId="0" applyNumberFormat="1" applyFont="1" applyFill="1" applyAlignment="1">
      <alignment/>
    </xf>
    <xf numFmtId="0" fontId="30" fillId="0" borderId="0" xfId="0" applyFont="1" applyFill="1" applyAlignment="1">
      <alignment wrapText="1"/>
    </xf>
    <xf numFmtId="3" fontId="11" fillId="0" borderId="0" xfId="0" applyNumberFormat="1" applyFont="1" applyFill="1" applyBorder="1" applyAlignment="1">
      <alignment vertical="center"/>
    </xf>
    <xf numFmtId="10" fontId="9" fillId="0" borderId="0" xfId="62" applyNumberFormat="1" applyFont="1" applyFill="1" applyAlignment="1">
      <alignment/>
    </xf>
    <xf numFmtId="181" fontId="8" fillId="0" borderId="0" xfId="42" applyNumberFormat="1" applyFont="1" applyFill="1" applyAlignment="1">
      <alignment/>
    </xf>
    <xf numFmtId="181" fontId="0" fillId="0" borderId="0" xfId="42" applyNumberFormat="1" applyFont="1" applyFill="1" applyAlignment="1">
      <alignment/>
    </xf>
    <xf numFmtId="0" fontId="0" fillId="0" borderId="0" xfId="0" applyFont="1" applyFill="1" applyBorder="1" applyAlignment="1">
      <alignment/>
    </xf>
    <xf numFmtId="181" fontId="0" fillId="0" borderId="0" xfId="42" applyNumberFormat="1" applyFont="1" applyFill="1" applyBorder="1" applyAlignment="1">
      <alignment/>
    </xf>
    <xf numFmtId="3" fontId="3" fillId="0" borderId="0" xfId="0" applyNumberFormat="1" applyFont="1" applyFill="1" applyAlignment="1">
      <alignment/>
    </xf>
    <xf numFmtId="178" fontId="9" fillId="0" borderId="0" xfId="0" applyNumberFormat="1" applyFont="1" applyFill="1" applyAlignment="1">
      <alignment/>
    </xf>
    <xf numFmtId="2" fontId="97" fillId="0" borderId="0" xfId="0" applyNumberFormat="1" applyFont="1" applyFill="1" applyAlignment="1">
      <alignment/>
    </xf>
    <xf numFmtId="9" fontId="0" fillId="0" borderId="0" xfId="62" applyFont="1" applyAlignment="1">
      <alignment/>
    </xf>
    <xf numFmtId="3" fontId="99" fillId="0" borderId="0" xfId="0" applyNumberFormat="1" applyFont="1" applyFill="1" applyAlignment="1">
      <alignment/>
    </xf>
    <xf numFmtId="0" fontId="102" fillId="0" borderId="0" xfId="0" applyFont="1" applyAlignment="1">
      <alignment/>
    </xf>
    <xf numFmtId="0" fontId="31" fillId="0" borderId="0" xfId="0" applyFont="1" applyFill="1" applyAlignment="1">
      <alignment/>
    </xf>
    <xf numFmtId="4" fontId="31" fillId="0" borderId="0" xfId="0" applyNumberFormat="1" applyFont="1" applyFill="1" applyAlignment="1">
      <alignment/>
    </xf>
    <xf numFmtId="181" fontId="31" fillId="0" borderId="0" xfId="42" applyNumberFormat="1" applyFont="1" applyFill="1" applyAlignment="1">
      <alignment/>
    </xf>
    <xf numFmtId="0" fontId="31" fillId="0" borderId="0" xfId="0" applyFont="1" applyFill="1" applyAlignment="1">
      <alignment wrapText="1"/>
    </xf>
    <xf numFmtId="2" fontId="31" fillId="0" borderId="0" xfId="0" applyNumberFormat="1" applyFont="1" applyFill="1" applyAlignment="1">
      <alignment/>
    </xf>
    <xf numFmtId="177" fontId="0" fillId="0" borderId="0" xfId="42" applyFont="1" applyFill="1" applyAlignment="1">
      <alignment/>
    </xf>
    <xf numFmtId="0" fontId="0" fillId="0" borderId="0" xfId="0" applyFont="1" applyFill="1" applyAlignment="1">
      <alignment wrapText="1"/>
    </xf>
    <xf numFmtId="2" fontId="0" fillId="0" borderId="0" xfId="0" applyNumberFormat="1" applyFont="1" applyFill="1" applyAlignment="1">
      <alignment wrapText="1"/>
    </xf>
    <xf numFmtId="180" fontId="0" fillId="0" borderId="0" xfId="0" applyNumberFormat="1" applyFont="1" applyFill="1" applyAlignment="1">
      <alignment/>
    </xf>
    <xf numFmtId="0" fontId="32" fillId="0" borderId="0" xfId="0" applyFont="1" applyFill="1" applyAlignment="1">
      <alignment/>
    </xf>
    <xf numFmtId="0" fontId="32" fillId="0" borderId="0" xfId="0" applyFont="1" applyFill="1" applyAlignment="1">
      <alignment wrapText="1"/>
    </xf>
    <xf numFmtId="180" fontId="32" fillId="0" borderId="0" xfId="0" applyNumberFormat="1" applyFont="1" applyFill="1" applyAlignment="1">
      <alignment/>
    </xf>
    <xf numFmtId="172" fontId="32" fillId="0" borderId="0" xfId="0" applyNumberFormat="1" applyFont="1" applyFill="1" applyAlignment="1">
      <alignment/>
    </xf>
    <xf numFmtId="0" fontId="7" fillId="0" borderId="0" xfId="0" applyFont="1" applyFill="1" applyBorder="1" applyAlignment="1">
      <alignment vertical="top" wrapText="1"/>
    </xf>
    <xf numFmtId="0" fontId="0" fillId="0" borderId="0" xfId="0" applyFill="1" applyBorder="1" applyAlignment="1">
      <alignment vertical="top"/>
    </xf>
    <xf numFmtId="9" fontId="0" fillId="0" borderId="0" xfId="62" applyFont="1" applyAlignment="1">
      <alignment/>
    </xf>
    <xf numFmtId="181" fontId="0" fillId="0" borderId="0" xfId="62" applyNumberFormat="1" applyFont="1" applyAlignment="1">
      <alignment/>
    </xf>
    <xf numFmtId="3" fontId="97" fillId="0" borderId="0" xfId="0" applyNumberFormat="1" applyFont="1" applyFill="1" applyAlignment="1">
      <alignment/>
    </xf>
    <xf numFmtId="177" fontId="8" fillId="0" borderId="0" xfId="42" applyFont="1" applyAlignment="1">
      <alignment/>
    </xf>
    <xf numFmtId="4" fontId="8" fillId="0" borderId="0" xfId="0" applyNumberFormat="1" applyFont="1" applyAlignment="1">
      <alignment/>
    </xf>
    <xf numFmtId="0" fontId="12" fillId="0" borderId="34" xfId="0" applyFont="1" applyFill="1" applyBorder="1" applyAlignment="1">
      <alignment horizontal="center" vertical="center" wrapText="1"/>
    </xf>
    <xf numFmtId="3" fontId="11" fillId="0" borderId="0" xfId="0" applyNumberFormat="1" applyFont="1" applyAlignment="1">
      <alignment/>
    </xf>
    <xf numFmtId="181" fontId="11" fillId="0" borderId="0" xfId="42" applyNumberFormat="1" applyFont="1" applyAlignment="1">
      <alignment/>
    </xf>
    <xf numFmtId="177" fontId="4" fillId="34" borderId="0" xfId="42" applyFont="1" applyFill="1" applyBorder="1" applyAlignment="1">
      <alignment vertical="top"/>
    </xf>
    <xf numFmtId="0" fontId="104" fillId="0" borderId="0" xfId="0" applyFont="1" applyFill="1" applyBorder="1" applyAlignment="1">
      <alignment vertical="center"/>
    </xf>
    <xf numFmtId="0" fontId="100" fillId="0" borderId="0" xfId="0" applyFont="1" applyFill="1" applyAlignment="1">
      <alignment/>
    </xf>
    <xf numFmtId="0" fontId="105" fillId="0" borderId="0" xfId="0" applyFont="1" applyFill="1" applyAlignment="1">
      <alignment/>
    </xf>
    <xf numFmtId="3" fontId="105" fillId="0" borderId="0" xfId="0" applyNumberFormat="1" applyFont="1" applyFill="1" applyAlignment="1">
      <alignment/>
    </xf>
    <xf numFmtId="0" fontId="97" fillId="0" borderId="0" xfId="0" applyFont="1" applyAlignment="1">
      <alignment/>
    </xf>
    <xf numFmtId="0" fontId="105" fillId="0" borderId="0" xfId="0" applyFont="1" applyBorder="1" applyAlignment="1">
      <alignment horizontal="center" wrapText="1"/>
    </xf>
    <xf numFmtId="0" fontId="105" fillId="0" borderId="0" xfId="0" applyFont="1" applyAlignment="1">
      <alignment/>
    </xf>
    <xf numFmtId="3" fontId="106" fillId="0" borderId="0" xfId="0" applyNumberFormat="1" applyFont="1" applyAlignment="1">
      <alignment horizontal="center" wrapText="1"/>
    </xf>
    <xf numFmtId="3" fontId="106" fillId="0" borderId="0" xfId="0" applyNumberFormat="1" applyFont="1" applyAlignment="1">
      <alignment/>
    </xf>
    <xf numFmtId="10" fontId="106" fillId="0" borderId="0" xfId="62" applyNumberFormat="1" applyFont="1" applyAlignment="1">
      <alignment horizontal="center" wrapText="1"/>
    </xf>
    <xf numFmtId="10" fontId="106" fillId="0" borderId="0" xfId="62" applyNumberFormat="1" applyFont="1" applyAlignment="1">
      <alignment/>
    </xf>
    <xf numFmtId="1" fontId="106" fillId="0" borderId="0" xfId="0" applyNumberFormat="1" applyFont="1" applyAlignment="1">
      <alignment/>
    </xf>
    <xf numFmtId="177" fontId="106" fillId="0" borderId="0" xfId="42" applyFont="1" applyAlignment="1">
      <alignment/>
    </xf>
    <xf numFmtId="172" fontId="105" fillId="0" borderId="0" xfId="0" applyNumberFormat="1" applyFont="1" applyFill="1" applyAlignment="1">
      <alignment/>
    </xf>
    <xf numFmtId="0" fontId="99" fillId="0" borderId="0" xfId="0" applyFont="1" applyAlignment="1">
      <alignment/>
    </xf>
    <xf numFmtId="0" fontId="106" fillId="0" borderId="0" xfId="0" applyFont="1" applyFill="1" applyAlignment="1">
      <alignment/>
    </xf>
    <xf numFmtId="3" fontId="106" fillId="0" borderId="0" xfId="0" applyNumberFormat="1" applyFont="1" applyFill="1" applyAlignment="1">
      <alignment/>
    </xf>
    <xf numFmtId="9" fontId="106" fillId="0" borderId="0" xfId="62" applyNumberFormat="1" applyFont="1" applyFill="1" applyAlignment="1">
      <alignment/>
    </xf>
    <xf numFmtId="177" fontId="106" fillId="0" borderId="0" xfId="42" applyFont="1" applyFill="1" applyAlignment="1">
      <alignment/>
    </xf>
    <xf numFmtId="0" fontId="107" fillId="0" borderId="0" xfId="0" applyFont="1" applyFill="1" applyBorder="1" applyAlignment="1">
      <alignment horizontal="center" vertical="top" wrapText="1"/>
    </xf>
    <xf numFmtId="4" fontId="106" fillId="0" borderId="0" xfId="0" applyNumberFormat="1" applyFont="1" applyFill="1" applyAlignment="1">
      <alignment/>
    </xf>
    <xf numFmtId="177" fontId="106" fillId="0" borderId="0" xfId="42" applyFont="1" applyFill="1" applyAlignment="1">
      <alignment/>
    </xf>
    <xf numFmtId="181" fontId="106" fillId="0" borderId="0" xfId="42" applyNumberFormat="1" applyFont="1" applyFill="1" applyAlignment="1">
      <alignment/>
    </xf>
    <xf numFmtId="9" fontId="106" fillId="0" borderId="0" xfId="62" applyNumberFormat="1" applyFont="1" applyFill="1" applyAlignment="1">
      <alignment/>
    </xf>
    <xf numFmtId="0" fontId="105" fillId="0" borderId="0" xfId="0" applyFont="1" applyBorder="1" applyAlignment="1">
      <alignment wrapText="1"/>
    </xf>
    <xf numFmtId="0" fontId="12" fillId="0" borderId="0" xfId="0" applyFont="1" applyFill="1" applyAlignment="1">
      <alignment/>
    </xf>
    <xf numFmtId="3" fontId="33" fillId="0" borderId="0" xfId="0" applyNumberFormat="1" applyFont="1" applyAlignment="1">
      <alignment/>
    </xf>
    <xf numFmtId="181" fontId="106" fillId="0" borderId="0" xfId="42" applyNumberFormat="1" applyFont="1" applyAlignment="1">
      <alignment/>
    </xf>
    <xf numFmtId="181" fontId="106" fillId="0" borderId="0" xfId="62" applyNumberFormat="1" applyFont="1" applyFill="1" applyAlignment="1">
      <alignment/>
    </xf>
    <xf numFmtId="3" fontId="101" fillId="0" borderId="10" xfId="0" applyNumberFormat="1" applyFont="1" applyFill="1" applyBorder="1" applyAlignment="1">
      <alignment/>
    </xf>
    <xf numFmtId="3" fontId="108" fillId="0" borderId="11" xfId="0" applyNumberFormat="1" applyFont="1" applyFill="1" applyBorder="1" applyAlignment="1">
      <alignment/>
    </xf>
    <xf numFmtId="181" fontId="11" fillId="0" borderId="0" xfId="42" applyNumberFormat="1" applyFont="1" applyAlignment="1">
      <alignment vertical="center" wrapText="1"/>
    </xf>
    <xf numFmtId="177" fontId="9" fillId="0" borderId="0" xfId="42" applyFont="1" applyAlignment="1">
      <alignment/>
    </xf>
    <xf numFmtId="3" fontId="12" fillId="0" borderId="34" xfId="0" applyNumberFormat="1" applyFont="1" applyFill="1" applyBorder="1" applyAlignment="1">
      <alignment horizontal="center" vertical="center" wrapText="1"/>
    </xf>
    <xf numFmtId="177" fontId="11" fillId="0" borderId="0" xfId="42" applyFont="1" applyAlignment="1">
      <alignment/>
    </xf>
    <xf numFmtId="177" fontId="11" fillId="0" borderId="0" xfId="42" applyFont="1" applyAlignment="1">
      <alignment vertical="center" wrapText="1"/>
    </xf>
    <xf numFmtId="3" fontId="0" fillId="0" borderId="0" xfId="0" applyNumberFormat="1" applyAlignment="1">
      <alignment/>
    </xf>
    <xf numFmtId="9" fontId="9" fillId="0" borderId="0" xfId="62" applyFont="1" applyAlignment="1">
      <alignment/>
    </xf>
    <xf numFmtId="9" fontId="0" fillId="0" borderId="0" xfId="62" applyFont="1" applyAlignment="1">
      <alignment/>
    </xf>
    <xf numFmtId="9" fontId="97" fillId="0" borderId="0" xfId="62" applyFont="1" applyAlignment="1">
      <alignment/>
    </xf>
    <xf numFmtId="9" fontId="99" fillId="0" borderId="0" xfId="62" applyFont="1" applyAlignment="1">
      <alignment/>
    </xf>
    <xf numFmtId="177" fontId="0" fillId="0" borderId="0" xfId="42" applyFont="1" applyAlignment="1">
      <alignment/>
    </xf>
    <xf numFmtId="172" fontId="0" fillId="0" borderId="0" xfId="0" applyNumberFormat="1" applyAlignment="1">
      <alignment/>
    </xf>
    <xf numFmtId="177" fontId="11" fillId="0" borderId="0" xfId="42" applyNumberFormat="1" applyFont="1" applyAlignment="1">
      <alignment/>
    </xf>
    <xf numFmtId="3" fontId="0" fillId="0" borderId="0" xfId="0" applyNumberFormat="1" applyFont="1" applyFill="1" applyAlignment="1">
      <alignment/>
    </xf>
    <xf numFmtId="177" fontId="9" fillId="0" borderId="0" xfId="42" applyFont="1" applyAlignment="1">
      <alignment/>
    </xf>
    <xf numFmtId="173" fontId="9" fillId="0" borderId="0" xfId="0" applyNumberFormat="1" applyFont="1" applyAlignment="1">
      <alignment/>
    </xf>
    <xf numFmtId="3" fontId="0" fillId="0" borderId="0" xfId="0" applyNumberFormat="1" applyFont="1" applyAlignment="1">
      <alignment/>
    </xf>
    <xf numFmtId="0" fontId="102" fillId="0" borderId="0" xfId="0" applyFont="1" applyAlignment="1">
      <alignment/>
    </xf>
    <xf numFmtId="177" fontId="95" fillId="0" borderId="0" xfId="42" applyFont="1" applyAlignment="1">
      <alignment/>
    </xf>
    <xf numFmtId="177" fontId="96" fillId="0" borderId="0" xfId="42" applyFont="1" applyAlignment="1">
      <alignment/>
    </xf>
    <xf numFmtId="4" fontId="3" fillId="0" borderId="0" xfId="0" applyNumberFormat="1" applyFont="1" applyFill="1" applyAlignment="1">
      <alignment/>
    </xf>
    <xf numFmtId="181" fontId="9" fillId="0" borderId="0" xfId="42" applyNumberFormat="1" applyFont="1" applyFill="1" applyAlignment="1">
      <alignment/>
    </xf>
    <xf numFmtId="0" fontId="7" fillId="0" borderId="33" xfId="0" applyFont="1" applyFill="1" applyBorder="1" applyAlignment="1">
      <alignment/>
    </xf>
    <xf numFmtId="181" fontId="11" fillId="0" borderId="0" xfId="42" applyNumberFormat="1" applyFont="1" applyFill="1" applyAlignment="1">
      <alignment/>
    </xf>
    <xf numFmtId="2" fontId="9" fillId="0" borderId="0" xfId="0" applyNumberFormat="1" applyFont="1" applyFill="1" applyAlignment="1">
      <alignment/>
    </xf>
    <xf numFmtId="177" fontId="9" fillId="0" borderId="0" xfId="42" applyFont="1" applyFill="1" applyAlignment="1">
      <alignment/>
    </xf>
    <xf numFmtId="0" fontId="97" fillId="0" borderId="0" xfId="0" applyFont="1" applyFill="1" applyBorder="1" applyAlignment="1">
      <alignment/>
    </xf>
    <xf numFmtId="177" fontId="4" fillId="0" borderId="0" xfId="42" applyFont="1" applyFill="1" applyBorder="1" applyAlignment="1">
      <alignment vertical="top"/>
    </xf>
    <xf numFmtId="4" fontId="106" fillId="0" borderId="0" xfId="0" applyNumberFormat="1" applyFont="1" applyFill="1" applyAlignment="1">
      <alignment/>
    </xf>
    <xf numFmtId="3" fontId="6" fillId="0" borderId="10" xfId="0" applyNumberFormat="1" applyFont="1" applyFill="1" applyBorder="1" applyAlignment="1">
      <alignment/>
    </xf>
    <xf numFmtId="3" fontId="2" fillId="0" borderId="11" xfId="0" applyNumberFormat="1" applyFont="1" applyFill="1" applyBorder="1" applyAlignment="1">
      <alignment/>
    </xf>
    <xf numFmtId="3" fontId="2" fillId="0" borderId="12" xfId="0" applyNumberFormat="1" applyFont="1" applyFill="1" applyBorder="1" applyAlignment="1">
      <alignment/>
    </xf>
    <xf numFmtId="177" fontId="8" fillId="0" borderId="0" xfId="42" applyFont="1" applyAlignment="1">
      <alignment/>
    </xf>
    <xf numFmtId="177" fontId="0" fillId="0" borderId="0" xfId="42" applyFont="1" applyAlignment="1">
      <alignment/>
    </xf>
    <xf numFmtId="177" fontId="0" fillId="0" borderId="0" xfId="42" applyFont="1" applyAlignment="1">
      <alignment/>
    </xf>
    <xf numFmtId="177" fontId="0" fillId="0" borderId="0" xfId="42" applyFont="1" applyFill="1" applyAlignment="1">
      <alignment/>
    </xf>
    <xf numFmtId="177" fontId="0" fillId="0" borderId="0" xfId="42" applyFont="1" applyFill="1" applyBorder="1" applyAlignment="1">
      <alignment/>
    </xf>
    <xf numFmtId="177" fontId="11" fillId="0" borderId="0" xfId="42" applyFont="1" applyFill="1" applyBorder="1" applyAlignment="1">
      <alignment vertical="center"/>
    </xf>
    <xf numFmtId="177" fontId="0" fillId="0" borderId="0" xfId="42" applyFont="1" applyBorder="1" applyAlignment="1">
      <alignment/>
    </xf>
    <xf numFmtId="177" fontId="100" fillId="0" borderId="0" xfId="42" applyFont="1" applyAlignment="1">
      <alignment/>
    </xf>
    <xf numFmtId="0" fontId="0" fillId="0" borderId="0" xfId="0" applyFont="1" applyAlignment="1">
      <alignment wrapText="1"/>
    </xf>
    <xf numFmtId="177" fontId="97" fillId="0" borderId="0" xfId="42" applyFont="1" applyAlignment="1">
      <alignment wrapText="1"/>
    </xf>
    <xf numFmtId="177" fontId="8" fillId="0" borderId="0" xfId="42" applyFont="1" applyAlignment="1">
      <alignment wrapText="1"/>
    </xf>
    <xf numFmtId="181" fontId="8" fillId="0" borderId="0" xfId="42" applyNumberFormat="1" applyFont="1" applyAlignment="1">
      <alignment wrapText="1"/>
    </xf>
    <xf numFmtId="177" fontId="8" fillId="0" borderId="0" xfId="42" applyNumberFormat="1" applyFont="1" applyAlignment="1">
      <alignment/>
    </xf>
    <xf numFmtId="181" fontId="31" fillId="0" borderId="0" xfId="42" applyNumberFormat="1" applyFont="1" applyFill="1" applyAlignment="1">
      <alignment wrapText="1"/>
    </xf>
    <xf numFmtId="3" fontId="4" fillId="0" borderId="0" xfId="0" applyNumberFormat="1" applyFont="1" applyFill="1" applyAlignment="1">
      <alignment wrapText="1"/>
    </xf>
    <xf numFmtId="181" fontId="33" fillId="0" borderId="0" xfId="42" applyNumberFormat="1" applyFont="1" applyFill="1" applyAlignment="1">
      <alignment wrapText="1"/>
    </xf>
    <xf numFmtId="0" fontId="4" fillId="0" borderId="0" xfId="0" applyFont="1" applyFill="1" applyAlignment="1">
      <alignment wrapText="1"/>
    </xf>
    <xf numFmtId="179" fontId="0" fillId="0" borderId="0" xfId="0" applyNumberFormat="1" applyFont="1" applyFill="1" applyAlignment="1">
      <alignment/>
    </xf>
    <xf numFmtId="181" fontId="8" fillId="0" borderId="0" xfId="42" applyNumberFormat="1" applyFont="1" applyFill="1" applyAlignment="1">
      <alignment vertical="top"/>
    </xf>
    <xf numFmtId="181" fontId="9" fillId="0" borderId="0" xfId="0" applyNumberFormat="1" applyFont="1" applyAlignment="1">
      <alignment/>
    </xf>
    <xf numFmtId="177" fontId="8" fillId="0" borderId="0" xfId="42" applyFont="1" applyAlignment="1">
      <alignment/>
    </xf>
    <xf numFmtId="177" fontId="34" fillId="0" borderId="0" xfId="42" applyFont="1" applyAlignment="1">
      <alignment/>
    </xf>
    <xf numFmtId="181" fontId="5" fillId="0" borderId="0" xfId="42" applyNumberFormat="1" applyFont="1" applyAlignment="1">
      <alignment/>
    </xf>
    <xf numFmtId="4" fontId="8" fillId="0" borderId="0" xfId="0" applyNumberFormat="1" applyFont="1" applyFill="1" applyAlignment="1">
      <alignment/>
    </xf>
    <xf numFmtId="3" fontId="97" fillId="0" borderId="0" xfId="0" applyNumberFormat="1" applyFont="1" applyFill="1" applyBorder="1" applyAlignment="1">
      <alignment/>
    </xf>
    <xf numFmtId="177" fontId="102" fillId="0" borderId="0" xfId="42" applyFont="1" applyAlignment="1">
      <alignment/>
    </xf>
    <xf numFmtId="0" fontId="11" fillId="0" borderId="0" xfId="0" applyFont="1" applyAlignment="1">
      <alignment vertical="center"/>
    </xf>
    <xf numFmtId="177" fontId="11" fillId="0" borderId="0" xfId="44" applyFont="1" applyFill="1" applyBorder="1" applyAlignment="1">
      <alignment vertical="center"/>
    </xf>
    <xf numFmtId="0" fontId="11" fillId="0" borderId="0" xfId="0" applyFont="1" applyAlignment="1">
      <alignment vertical="top"/>
    </xf>
    <xf numFmtId="177" fontId="11" fillId="0" borderId="0" xfId="44" applyFont="1" applyFill="1" applyBorder="1" applyAlignment="1">
      <alignment vertical="top"/>
    </xf>
    <xf numFmtId="9" fontId="11" fillId="0" borderId="0" xfId="62" applyFont="1" applyAlignment="1">
      <alignment/>
    </xf>
    <xf numFmtId="3" fontId="11" fillId="0" borderId="0" xfId="0" applyNumberFormat="1" applyFont="1" applyFill="1" applyAlignment="1">
      <alignment/>
    </xf>
    <xf numFmtId="181" fontId="12"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0" fontId="12" fillId="0" borderId="0" xfId="0" applyFont="1" applyAlignment="1">
      <alignment/>
    </xf>
    <xf numFmtId="0" fontId="12" fillId="0" borderId="0" xfId="42" applyNumberFormat="1" applyFont="1" applyAlignment="1">
      <alignment/>
    </xf>
    <xf numFmtId="177" fontId="9" fillId="0" borderId="0" xfId="42" applyNumberFormat="1" applyFont="1" applyAlignment="1">
      <alignment/>
    </xf>
    <xf numFmtId="177" fontId="0" fillId="0" borderId="0" xfId="42" applyNumberFormat="1" applyFont="1" applyAlignment="1">
      <alignment/>
    </xf>
    <xf numFmtId="10" fontId="0" fillId="0" borderId="0" xfId="62" applyNumberFormat="1" applyFont="1" applyAlignment="1">
      <alignment/>
    </xf>
    <xf numFmtId="179" fontId="3" fillId="0" borderId="0" xfId="0" applyNumberFormat="1" applyFont="1" applyFill="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1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7"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 fillId="0" borderId="0" xfId="0" applyFont="1" applyAlignment="1">
      <alignment horizontal="center"/>
    </xf>
    <xf numFmtId="0" fontId="2" fillId="0" borderId="0" xfId="0" applyFont="1" applyAlignment="1">
      <alignment horizontal="center" vertical="center" wrapText="1"/>
    </xf>
    <xf numFmtId="0" fontId="8"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181" fontId="0" fillId="0" borderId="0" xfId="0" applyNumberFormat="1" applyFill="1" applyAlignment="1">
      <alignment horizontal="center" vertical="center"/>
    </xf>
    <xf numFmtId="181" fontId="0" fillId="0" borderId="34" xfId="42" applyNumberFormat="1" applyFont="1" applyFill="1" applyBorder="1" applyAlignment="1">
      <alignment horizontal="center" vertical="center"/>
    </xf>
    <xf numFmtId="0" fontId="25" fillId="0" borderId="0" xfId="0" applyFont="1" applyAlignment="1">
      <alignment horizontal="center" wrapText="1"/>
    </xf>
    <xf numFmtId="0" fontId="25" fillId="0" borderId="0" xfId="0" applyFont="1" applyAlignment="1">
      <alignment horizontal="center"/>
    </xf>
    <xf numFmtId="3" fontId="8" fillId="0" borderId="0" xfId="0" applyNumberFormat="1" applyFont="1" applyAlignment="1">
      <alignment horizontal="center" wrapText="1"/>
    </xf>
    <xf numFmtId="0" fontId="2" fillId="0" borderId="0" xfId="0" applyFont="1" applyAlignment="1">
      <alignment horizontal="center" vertical="center" wrapText="1"/>
    </xf>
    <xf numFmtId="0" fontId="12" fillId="0" borderId="1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28" fillId="0" borderId="0" xfId="0" applyFont="1" applyAlignment="1">
      <alignment horizontal="left" wrapText="1"/>
    </xf>
    <xf numFmtId="0" fontId="8" fillId="0" borderId="0" xfId="0" applyFont="1" applyFill="1" applyBorder="1" applyAlignment="1">
      <alignment horizontal="left" vertical="center" wrapText="1"/>
    </xf>
    <xf numFmtId="0" fontId="0" fillId="0" borderId="34" xfId="0" applyFont="1" applyBorder="1" applyAlignment="1">
      <alignment horizontal="center" wrapText="1"/>
    </xf>
    <xf numFmtId="0" fontId="2" fillId="34" borderId="0" xfId="0" applyFont="1" applyFill="1" applyAlignment="1">
      <alignment horizontal="center" vertical="center" wrapText="1"/>
    </xf>
    <xf numFmtId="3" fontId="8" fillId="0" borderId="0" xfId="0" applyNumberFormat="1" applyFont="1" applyFill="1" applyAlignment="1">
      <alignment horizontal="center" wrapText="1"/>
    </xf>
    <xf numFmtId="0" fontId="2"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4" xfId="0" applyFont="1" applyFill="1" applyBorder="1" applyAlignment="1">
      <alignment horizontal="center" wrapText="1"/>
    </xf>
    <xf numFmtId="0" fontId="4" fillId="0" borderId="0" xfId="0" applyFont="1" applyFill="1" applyBorder="1" applyAlignment="1">
      <alignment horizontal="left" vertical="center" wrapText="1"/>
    </xf>
    <xf numFmtId="0" fontId="1" fillId="0" borderId="0" xfId="0" applyFont="1" applyFill="1" applyAlignment="1">
      <alignment horizontal="center"/>
    </xf>
    <xf numFmtId="0" fontId="28" fillId="0" borderId="0" xfId="0" applyFont="1" applyFill="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0" xfId="0" applyFont="1" applyAlignment="1">
      <alignment horizontal="left" vertical="top" wrapText="1"/>
    </xf>
    <xf numFmtId="0" fontId="6" fillId="0" borderId="0" xfId="0" applyFont="1" applyFill="1" applyAlignment="1">
      <alignment horizontal="center" vertical="center" wrapText="1"/>
    </xf>
    <xf numFmtId="14" fontId="30" fillId="0" borderId="0" xfId="0" applyNumberFormat="1" applyFont="1" applyFill="1" applyAlignment="1">
      <alignment horizontal="center" wrapText="1"/>
    </xf>
    <xf numFmtId="0" fontId="30" fillId="0" borderId="0" xfId="0" applyFont="1" applyFill="1" applyAlignment="1">
      <alignment horizontal="center" wrapText="1"/>
    </xf>
    <xf numFmtId="0" fontId="29" fillId="0" borderId="21" xfId="0" applyFont="1" applyFill="1" applyBorder="1" applyAlignment="1">
      <alignment horizontal="center" vertical="center" wrapText="1"/>
    </xf>
    <xf numFmtId="3" fontId="32" fillId="0" borderId="34" xfId="0" applyNumberFormat="1" applyFont="1" applyFill="1" applyBorder="1" applyAlignment="1">
      <alignment horizontal="center" wrapText="1"/>
    </xf>
    <xf numFmtId="0" fontId="0" fillId="0" borderId="0" xfId="0" applyAlignment="1">
      <alignment horizontal="center"/>
    </xf>
    <xf numFmtId="177" fontId="35" fillId="0" borderId="0" xfId="42" applyFont="1" applyAlignment="1">
      <alignment horizontal="center"/>
    </xf>
    <xf numFmtId="177" fontId="9" fillId="0" borderId="0" xfId="42" applyFont="1" applyAlignment="1">
      <alignment horizontal="center"/>
    </xf>
    <xf numFmtId="173" fontId="9" fillId="0" borderId="0" xfId="0" applyNumberFormat="1"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177" fontId="0" fillId="0" borderId="0" xfId="42" applyFont="1" applyAlignment="1">
      <alignment horizontal="center" wrapText="1"/>
    </xf>
    <xf numFmtId="0" fontId="4" fillId="0" borderId="0" xfId="0" applyFont="1" applyAlignment="1">
      <alignment horizontal="left" vertical="center" wrapText="1"/>
    </xf>
    <xf numFmtId="0" fontId="4" fillId="0" borderId="0" xfId="0" applyFont="1" applyFill="1" applyBorder="1" applyAlignment="1">
      <alignment horizontal="left" vertical="top" wrapText="1"/>
    </xf>
    <xf numFmtId="0" fontId="109" fillId="0" borderId="0" xfId="0" applyFont="1" applyFill="1" applyBorder="1" applyAlignment="1">
      <alignment horizontal="left" vertical="top" wrapText="1"/>
    </xf>
    <xf numFmtId="3" fontId="0" fillId="0" borderId="34" xfId="0"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Z94"/>
  <sheetViews>
    <sheetView zoomScalePageLayoutView="0" workbookViewId="0" topLeftCell="A22">
      <selection activeCell="A16" sqref="A1:IV16384"/>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t="s">
        <v>77</v>
      </c>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59173</v>
      </c>
      <c r="D6" s="155">
        <f>D7+D8+D9+D12+D13</f>
        <v>0.9999999999999999</v>
      </c>
    </row>
    <row r="7" spans="1:20" s="6" customFormat="1" ht="21" customHeight="1">
      <c r="A7" s="58" t="s">
        <v>4</v>
      </c>
      <c r="B7" s="59" t="s">
        <v>3</v>
      </c>
      <c r="C7" s="60">
        <v>14224</v>
      </c>
      <c r="D7" s="157">
        <f>14224/59173</f>
        <v>0.240379902996299</v>
      </c>
      <c r="F7" s="55"/>
      <c r="J7" s="55"/>
      <c r="K7" s="55"/>
      <c r="L7" s="55"/>
      <c r="M7" s="35"/>
      <c r="N7" s="35"/>
      <c r="O7" s="35"/>
      <c r="P7" s="35"/>
      <c r="Q7" s="35"/>
      <c r="R7" s="35"/>
      <c r="S7" s="35"/>
      <c r="T7" s="35"/>
    </row>
    <row r="8" spans="1:20" s="6" customFormat="1" ht="21" customHeight="1">
      <c r="A8" s="58" t="s">
        <v>8</v>
      </c>
      <c r="B8" s="59" t="s">
        <v>3</v>
      </c>
      <c r="C8" s="60">
        <v>4517</v>
      </c>
      <c r="D8" s="157">
        <f>4517/59173</f>
        <v>0.07633549084886689</v>
      </c>
      <c r="E8" s="35"/>
      <c r="M8" s="35"/>
      <c r="N8" s="35"/>
      <c r="O8" s="35"/>
      <c r="P8" s="35"/>
      <c r="Q8" s="35"/>
      <c r="R8" s="35"/>
      <c r="S8" s="35"/>
      <c r="T8" s="35"/>
    </row>
    <row r="9" spans="1:20" s="6" customFormat="1" ht="21" customHeight="1">
      <c r="A9" s="58" t="s">
        <v>21</v>
      </c>
      <c r="B9" s="59" t="s">
        <v>3</v>
      </c>
      <c r="C9" s="60">
        <f>C10+C11</f>
        <v>34661</v>
      </c>
      <c r="D9" s="157">
        <f>D10+D11</f>
        <v>0.5857570175586838</v>
      </c>
      <c r="M9" s="35"/>
      <c r="N9" s="35"/>
      <c r="O9" s="35"/>
      <c r="P9" s="35"/>
      <c r="Q9" s="35"/>
      <c r="R9" s="35"/>
      <c r="S9" s="35"/>
      <c r="T9" s="35"/>
    </row>
    <row r="10" spans="1:20" s="6" customFormat="1" ht="21" customHeight="1">
      <c r="A10" s="97" t="s">
        <v>48</v>
      </c>
      <c r="B10" s="59" t="s">
        <v>3</v>
      </c>
      <c r="C10" s="85">
        <f>29082+1415+456</f>
        <v>30953</v>
      </c>
      <c r="D10" s="156">
        <f>29082/59173</f>
        <v>0.4914741520625961</v>
      </c>
      <c r="E10" s="27"/>
      <c r="M10" s="35"/>
      <c r="N10" s="35"/>
      <c r="O10" s="35"/>
      <c r="P10" s="35"/>
      <c r="Q10" s="35"/>
      <c r="R10" s="35"/>
      <c r="S10" s="35"/>
      <c r="T10" s="35"/>
    </row>
    <row r="11" spans="1:20" s="6" customFormat="1" ht="21" customHeight="1">
      <c r="A11" s="97" t="s">
        <v>64</v>
      </c>
      <c r="B11" s="59" t="s">
        <v>3</v>
      </c>
      <c r="C11" s="98">
        <f>5579-1415-456</f>
        <v>3708</v>
      </c>
      <c r="D11" s="156">
        <f>5579/59173</f>
        <v>0.09428286549608775</v>
      </c>
      <c r="M11" s="35"/>
      <c r="N11" s="35"/>
      <c r="O11" s="35"/>
      <c r="P11" s="35"/>
      <c r="Q11" s="35"/>
      <c r="R11" s="35"/>
      <c r="S11" s="35"/>
      <c r="T11" s="35"/>
    </row>
    <row r="12" spans="1:4" ht="21" customHeight="1">
      <c r="A12" s="99" t="s">
        <v>65</v>
      </c>
      <c r="B12" s="100" t="s">
        <v>3</v>
      </c>
      <c r="C12" s="101">
        <v>5117</v>
      </c>
      <c r="D12" s="157">
        <f>5117/59173</f>
        <v>0.08647525053656228</v>
      </c>
    </row>
    <row r="13" spans="1:9" ht="21" customHeight="1" thickBot="1">
      <c r="A13" s="58" t="s">
        <v>66</v>
      </c>
      <c r="B13" s="59" t="s">
        <v>3</v>
      </c>
      <c r="C13" s="102">
        <v>654</v>
      </c>
      <c r="D13" s="158">
        <f>654/59173</f>
        <v>0.011052338059587987</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214801</v>
      </c>
      <c r="D18" s="106">
        <f t="shared" si="0"/>
        <v>73705</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v>53292</v>
      </c>
      <c r="D19" s="112">
        <f>ROUND(C19-E19-F19-G19-H19,0)</f>
        <v>21958</v>
      </c>
      <c r="E19" s="112">
        <v>3347</v>
      </c>
      <c r="F19" s="112">
        <v>13375</v>
      </c>
      <c r="G19" s="112">
        <f>5842+1286</f>
        <v>7128</v>
      </c>
      <c r="H19" s="112">
        <v>7484</v>
      </c>
      <c r="I19" s="112">
        <f>26500*(58575/171094)+1350+1500-300</f>
        <v>11622.425099652823</v>
      </c>
      <c r="J19" s="107"/>
      <c r="K19" s="107"/>
      <c r="L19" s="107"/>
      <c r="M19" s="109"/>
      <c r="N19" s="79"/>
      <c r="O19" s="79"/>
      <c r="P19" s="113"/>
      <c r="Q19" s="113"/>
      <c r="R19" s="113"/>
      <c r="S19" s="113"/>
      <c r="T19" s="113"/>
    </row>
    <row r="20" spans="1:20" s="114" customFormat="1" ht="21" customHeight="1">
      <c r="A20" s="58" t="s">
        <v>10</v>
      </c>
      <c r="B20" s="59" t="s">
        <v>9</v>
      </c>
      <c r="C20" s="112">
        <f>ROUND(4517*11.9,0)</f>
        <v>53752</v>
      </c>
      <c r="D20" s="112">
        <f>ROUND(C20-E20-F20-G20-H20,0)</f>
        <v>9280</v>
      </c>
      <c r="E20" s="112">
        <v>1063</v>
      </c>
      <c r="F20" s="112">
        <v>4253</v>
      </c>
      <c r="G20" s="112">
        <f>30123+5154</f>
        <v>35277</v>
      </c>
      <c r="H20" s="112">
        <v>3879</v>
      </c>
      <c r="I20" s="112">
        <f>26500*(47355/171094)-3281-1000+300</f>
        <v>3353.608460846085</v>
      </c>
      <c r="J20" s="107"/>
      <c r="K20" s="107"/>
      <c r="L20" s="107"/>
      <c r="M20" s="109"/>
      <c r="N20" s="79"/>
      <c r="O20" s="79"/>
      <c r="P20" s="113"/>
      <c r="Q20" s="113"/>
      <c r="R20" s="113"/>
      <c r="S20" s="113"/>
      <c r="T20" s="113"/>
    </row>
    <row r="21" spans="1:20" s="114" customFormat="1" ht="21" customHeight="1">
      <c r="A21" s="58" t="s">
        <v>5</v>
      </c>
      <c r="B21" s="59" t="s">
        <v>9</v>
      </c>
      <c r="C21" s="112">
        <f aca="true" t="shared" si="1" ref="C21:I21">C22+C23</f>
        <v>87859</v>
      </c>
      <c r="D21" s="112">
        <f t="shared" si="1"/>
        <v>29361</v>
      </c>
      <c r="E21" s="112">
        <f t="shared" si="1"/>
        <v>8155</v>
      </c>
      <c r="F21" s="112">
        <f t="shared" si="1"/>
        <v>32591</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f>ROUND(30953*2.48-118+90,0)</f>
        <v>76735</v>
      </c>
      <c r="D22" s="116">
        <f>ROUND(C22-E22-F22-G22-H22,0)</f>
        <v>22586</v>
      </c>
      <c r="E22" s="116">
        <v>7287</v>
      </c>
      <c r="F22" s="116">
        <v>29110</v>
      </c>
      <c r="G22" s="116">
        <f>7000+750+1667</f>
        <v>9417</v>
      </c>
      <c r="H22" s="116">
        <v>8335</v>
      </c>
      <c r="I22" s="153">
        <f>ROUND(26500*(65164/171094)+1731-300,0)</f>
        <v>11524</v>
      </c>
      <c r="J22" s="107"/>
      <c r="K22" s="107"/>
      <c r="L22" s="107"/>
      <c r="M22" s="109"/>
      <c r="N22" s="79"/>
      <c r="O22" s="79"/>
      <c r="P22" s="111"/>
      <c r="Q22" s="111"/>
      <c r="R22" s="111"/>
      <c r="S22" s="111"/>
      <c r="T22" s="111"/>
    </row>
    <row r="23" spans="1:20" s="108" customFormat="1" ht="16.5" customHeight="1">
      <c r="A23" s="97" t="s">
        <v>64</v>
      </c>
      <c r="B23" s="59" t="s">
        <v>9</v>
      </c>
      <c r="C23" s="116">
        <f>3708*3</f>
        <v>11124</v>
      </c>
      <c r="D23" s="116">
        <f>ROUND(C23-E23-F23-G23-H23,0)</f>
        <v>6775</v>
      </c>
      <c r="E23" s="85">
        <v>868</v>
      </c>
      <c r="F23" s="85">
        <v>3481</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12195</v>
      </c>
      <c r="E24" s="60">
        <v>1205</v>
      </c>
      <c r="F24" s="60">
        <v>4817</v>
      </c>
      <c r="G24" s="60"/>
      <c r="H24" s="60"/>
      <c r="I24" s="60"/>
      <c r="J24" s="107"/>
      <c r="K24" s="107"/>
      <c r="L24" s="107"/>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911</v>
      </c>
      <c r="E25" s="125">
        <v>154</v>
      </c>
      <c r="F25" s="125">
        <v>616</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0" ht="16.5" customHeight="1">
      <c r="A30" s="11" t="s">
        <v>34</v>
      </c>
      <c r="B30" s="76"/>
      <c r="C30" s="77"/>
      <c r="D30" s="77"/>
      <c r="E30" s="77"/>
      <c r="F30" s="77"/>
      <c r="G30" s="77"/>
      <c r="H30" s="77"/>
      <c r="I30" s="77"/>
      <c r="J30" s="77"/>
    </row>
    <row r="31" spans="1:20" s="6" customFormat="1" ht="12" customHeight="1">
      <c r="A31" s="30" t="s">
        <v>35</v>
      </c>
      <c r="B31" s="31" t="s">
        <v>11</v>
      </c>
      <c r="C31" s="33">
        <f>D31+J31</f>
        <v>4.57</v>
      </c>
      <c r="D31" s="81">
        <f>E31+F31+G31+H31+I31</f>
        <v>3.75</v>
      </c>
      <c r="E31" s="81">
        <f>ROUND(D19/C7,2)</f>
        <v>1.54</v>
      </c>
      <c r="F31" s="81">
        <f>ROUND(E19/C7,2)</f>
        <v>0.24</v>
      </c>
      <c r="G31" s="81">
        <f>ROUND(F19/C7,2)</f>
        <v>0.94</v>
      </c>
      <c r="H31" s="81">
        <f>ROUND(G19/C7,2)</f>
        <v>0.5</v>
      </c>
      <c r="I31" s="81">
        <f>ROUND(H19/C7,2)</f>
        <v>0.53</v>
      </c>
      <c r="J31" s="81">
        <f>ROUND(I19/C7,2)</f>
        <v>0.82</v>
      </c>
      <c r="K31" s="86"/>
      <c r="L31" s="86"/>
      <c r="M31" s="89"/>
      <c r="N31" s="90"/>
      <c r="O31" s="35"/>
      <c r="P31" s="35"/>
      <c r="Q31" s="88"/>
      <c r="R31" s="35"/>
      <c r="S31" s="35"/>
      <c r="T31" s="35"/>
    </row>
    <row r="32" spans="1:20" s="6" customFormat="1" ht="12" customHeight="1">
      <c r="A32" s="13" t="s">
        <v>36</v>
      </c>
      <c r="B32" s="4" t="s">
        <v>11</v>
      </c>
      <c r="C32" s="33">
        <f>D32+J32</f>
        <v>12.639999999999999</v>
      </c>
      <c r="D32" s="81">
        <f aca="true" t="shared" si="2" ref="D32:D37">E32+F32+G32+H32+I32</f>
        <v>11.899999999999999</v>
      </c>
      <c r="E32" s="81">
        <f>ROUND(D20/C8,2)</f>
        <v>2.05</v>
      </c>
      <c r="F32" s="81">
        <f>ROUND(E20/C8,2)</f>
        <v>0.24</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2.87</v>
      </c>
      <c r="D33" s="81">
        <f t="shared" si="2"/>
        <v>2.54</v>
      </c>
      <c r="E33" s="81">
        <f>ROUND(D21/C9,2)</f>
        <v>0.85</v>
      </c>
      <c r="F33" s="81">
        <f>ROUND(E21/C9,2)</f>
        <v>0.24</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2.851387587632863</v>
      </c>
      <c r="D34" s="81">
        <f t="shared" si="2"/>
        <v>2.4790811876070173</v>
      </c>
      <c r="E34" s="81">
        <f>D22/C10</f>
        <v>0.7296869447226441</v>
      </c>
      <c r="F34" s="81">
        <f>E22/C10</f>
        <v>0.2354214454172455</v>
      </c>
      <c r="G34" s="81">
        <f>F22/C10</f>
        <v>0.9404581139146447</v>
      </c>
      <c r="H34" s="81">
        <f>G22/C10</f>
        <v>0.3042354537524634</v>
      </c>
      <c r="I34" s="81">
        <f>H22/C10</f>
        <v>0.2692792298000194</v>
      </c>
      <c r="J34" s="81">
        <f>I22/C10</f>
        <v>0.37230640002584564</v>
      </c>
      <c r="K34" s="86"/>
      <c r="L34" s="86"/>
      <c r="M34" s="89"/>
      <c r="N34" s="90"/>
      <c r="O34" s="35"/>
      <c r="P34" s="35"/>
      <c r="Q34" s="88"/>
      <c r="R34" s="35"/>
      <c r="S34" s="35"/>
      <c r="T34" s="35"/>
    </row>
    <row r="35" spans="1:20" s="6" customFormat="1" ht="12" customHeight="1">
      <c r="A35" s="13" t="s">
        <v>64</v>
      </c>
      <c r="B35" s="4" t="s">
        <v>11</v>
      </c>
      <c r="C35" s="14">
        <f>C23/C11</f>
        <v>3</v>
      </c>
      <c r="D35" s="81">
        <f t="shared" si="2"/>
        <v>3</v>
      </c>
      <c r="E35" s="81">
        <f>D23/C11</f>
        <v>1.8271305285868393</v>
      </c>
      <c r="F35" s="71">
        <f>E23/C11</f>
        <v>0.23408845738942827</v>
      </c>
      <c r="G35" s="71">
        <f>F23/C11</f>
        <v>0.9387810140237325</v>
      </c>
      <c r="H35" s="71"/>
      <c r="I35" s="14"/>
      <c r="J35" s="14"/>
      <c r="M35" s="89"/>
      <c r="N35" s="35"/>
      <c r="O35" s="35"/>
      <c r="P35" s="35"/>
      <c r="Q35" s="35"/>
      <c r="R35" s="35"/>
      <c r="S35" s="35"/>
      <c r="T35" s="35"/>
    </row>
    <row r="36" spans="1:13" ht="12" customHeight="1">
      <c r="A36" s="30" t="s">
        <v>65</v>
      </c>
      <c r="B36" s="31" t="s">
        <v>11</v>
      </c>
      <c r="C36" s="32">
        <v>3.56</v>
      </c>
      <c r="D36" s="81">
        <f t="shared" si="2"/>
        <v>3.5600938049638455</v>
      </c>
      <c r="E36" s="81">
        <f>D24/C12</f>
        <v>2.3832323627125267</v>
      </c>
      <c r="F36" s="81">
        <f>E24/C12</f>
        <v>0.23548954465507133</v>
      </c>
      <c r="G36" s="81">
        <f>F24/C12</f>
        <v>0.9413718975962478</v>
      </c>
      <c r="H36" s="72"/>
      <c r="I36" s="32"/>
      <c r="J36" s="32"/>
      <c r="M36" s="89"/>
    </row>
    <row r="37" spans="1:13" ht="12" customHeight="1" thickBot="1">
      <c r="A37" s="127" t="s">
        <v>6</v>
      </c>
      <c r="B37" s="10" t="s">
        <v>11</v>
      </c>
      <c r="C37" s="34">
        <v>2.57</v>
      </c>
      <c r="D37" s="82">
        <f t="shared" si="2"/>
        <v>2.5703363914373085</v>
      </c>
      <c r="E37" s="82">
        <f>D25/C13</f>
        <v>1.392966360856269</v>
      </c>
      <c r="F37" s="82">
        <f>E25/C13</f>
        <v>0.23547400611620795</v>
      </c>
      <c r="G37" s="82">
        <f>F25/C13</f>
        <v>0.9418960244648318</v>
      </c>
      <c r="H37" s="73"/>
      <c r="I37" s="34"/>
      <c r="J37" s="34"/>
      <c r="M37" s="89"/>
    </row>
    <row r="38" spans="1:3" ht="14.25" customHeight="1" thickBot="1">
      <c r="A38" s="15"/>
      <c r="B38" s="16"/>
      <c r="C38" s="2"/>
    </row>
    <row r="39" spans="1:6" ht="19.5" customHeight="1">
      <c r="A39" s="17" t="s">
        <v>12</v>
      </c>
      <c r="B39" s="18" t="s">
        <v>9</v>
      </c>
      <c r="C39" s="1">
        <f>C40+C42+C45+C47</f>
        <v>214800.6666666667</v>
      </c>
      <c r="D39" s="78"/>
      <c r="E39" t="s">
        <v>17</v>
      </c>
      <c r="F39" s="36"/>
    </row>
    <row r="40" spans="1:9" ht="16.5" customHeight="1">
      <c r="A40" s="58" t="s">
        <v>18</v>
      </c>
      <c r="B40" s="59" t="s">
        <v>9</v>
      </c>
      <c r="C40" s="60">
        <f>C41</f>
        <v>73705</v>
      </c>
      <c r="D40" s="79"/>
      <c r="I40" s="57"/>
    </row>
    <row r="41" spans="1:9" ht="12.75" customHeight="1">
      <c r="A41" s="8" t="s">
        <v>19</v>
      </c>
      <c r="B41" s="4" t="s">
        <v>9</v>
      </c>
      <c r="C41" s="12">
        <v>73705</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c r="A52" s="22"/>
      <c r="B52" s="23"/>
      <c r="C52" s="24"/>
      <c r="D52" s="24"/>
    </row>
    <row r="53" spans="1:11" ht="21.75" customHeight="1" hidden="1">
      <c r="A53" s="128" t="s">
        <v>43</v>
      </c>
      <c r="B53" s="129"/>
      <c r="C53" s="130"/>
      <c r="K53" s="28">
        <f>C18-C39-26500</f>
        <v>-26499.666666666686</v>
      </c>
    </row>
    <row r="54" spans="1:20" s="84" customFormat="1" ht="24.75" customHeight="1" hidden="1">
      <c r="A54" s="131" t="s">
        <v>55</v>
      </c>
      <c r="B54" s="132" t="s">
        <v>9</v>
      </c>
      <c r="C54" s="133">
        <f>(35330862.47-3888970.86-120491.03+14515878.86*0.0054)/1000</f>
        <v>31399.786325843997</v>
      </c>
      <c r="M54" s="53"/>
      <c r="N54" s="53"/>
      <c r="O54" s="53"/>
      <c r="P54" s="53"/>
      <c r="Q54" s="53"/>
      <c r="R54" s="53"/>
      <c r="S54" s="53"/>
      <c r="T54" s="53"/>
    </row>
    <row r="55" spans="1:3" ht="24.75" customHeight="1" hidden="1">
      <c r="A55" s="147" t="s">
        <v>56</v>
      </c>
      <c r="B55" s="148" t="s">
        <v>9</v>
      </c>
      <c r="C55" s="116">
        <f>(2250000*4+956250+928125+900000+871875)/1000</f>
        <v>12656.25</v>
      </c>
    </row>
    <row r="56" spans="1:3" ht="24.75" customHeight="1" hidden="1">
      <c r="A56" s="131" t="s">
        <v>57</v>
      </c>
      <c r="B56" s="134" t="s">
        <v>9</v>
      </c>
      <c r="C56" s="135"/>
    </row>
    <row r="57" spans="1:3" ht="27" customHeight="1" hidden="1">
      <c r="A57" s="136" t="s">
        <v>52</v>
      </c>
      <c r="B57" s="134" t="s">
        <v>9</v>
      </c>
      <c r="C57" s="137">
        <v>19246</v>
      </c>
    </row>
    <row r="58" spans="1:7" ht="27" customHeight="1" hidden="1">
      <c r="A58" s="136" t="s">
        <v>44</v>
      </c>
      <c r="B58" s="134" t="s">
        <v>9</v>
      </c>
      <c r="C58" s="137">
        <v>2615</v>
      </c>
      <c r="G58" s="91"/>
    </row>
    <row r="59" spans="1:5" ht="30.75" customHeight="1" hidden="1">
      <c r="A59" s="138" t="s">
        <v>53</v>
      </c>
      <c r="B59" s="139"/>
      <c r="C59" s="140">
        <v>28000</v>
      </c>
      <c r="E59" s="28"/>
    </row>
    <row r="60" spans="1:4" s="26" customFormat="1" ht="11.25" customHeight="1" hidden="1">
      <c r="A60" s="22"/>
      <c r="B60" s="23"/>
      <c r="C60" s="24"/>
      <c r="D60" s="24"/>
    </row>
    <row r="61" spans="1:4" s="26" customFormat="1" ht="11.25" customHeight="1" hidden="1">
      <c r="A61" s="22"/>
      <c r="B61" s="23"/>
      <c r="C61" s="24"/>
      <c r="D61" s="24"/>
    </row>
    <row r="62" spans="1:208" s="26" customFormat="1" ht="15" customHeight="1" hidden="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8" ht="38.25" customHeight="1" hidden="1">
      <c r="A63" s="41" t="s">
        <v>54</v>
      </c>
      <c r="B63" s="42" t="s">
        <v>9</v>
      </c>
      <c r="C63" s="62">
        <f>C64+C65</f>
        <v>26500</v>
      </c>
      <c r="E63" s="37" t="s">
        <v>50</v>
      </c>
      <c r="G63" s="38"/>
      <c r="H63" s="38"/>
    </row>
    <row r="64" spans="1:208" s="26" customFormat="1" ht="14.25" customHeight="1" hidden="1">
      <c r="A64" s="141" t="s">
        <v>68</v>
      </c>
      <c r="B64" s="142" t="s">
        <v>9</v>
      </c>
      <c r="C64" s="143">
        <v>8500</v>
      </c>
      <c r="D64" s="44"/>
      <c r="E64" s="44"/>
      <c r="F64" s="44" t="s">
        <v>51</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26" customFormat="1" ht="14.25" customHeight="1" hidden="1">
      <c r="A65" s="144" t="s">
        <v>30</v>
      </c>
      <c r="B65" s="145" t="s">
        <v>9</v>
      </c>
      <c r="C65" s="146">
        <v>18000</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4.25" customHeight="1" hidden="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16.5" customHeight="1" hidden="1">
      <c r="A67" s="43"/>
      <c r="B67" s="43"/>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47.25" customHeight="1" hidden="1">
      <c r="A68" s="571" t="s">
        <v>49</v>
      </c>
      <c r="B68" s="571"/>
      <c r="C68" s="571"/>
      <c r="D68" s="571"/>
      <c r="E68" s="571"/>
      <c r="F68" s="571"/>
      <c r="G68" s="571"/>
      <c r="H68" s="571"/>
      <c r="I68" s="57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208" s="26" customFormat="1" ht="18" customHeight="1" hidden="1">
      <c r="A69" s="572"/>
      <c r="B69" s="57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row>
    <row r="70" spans="1:3" s="26" customFormat="1" ht="12.75" hidden="1">
      <c r="A70" s="46"/>
      <c r="B70" s="45"/>
      <c r="C70" s="50"/>
    </row>
    <row r="71" spans="1:3" s="26" customFormat="1" ht="15" hidden="1">
      <c r="A71" s="43"/>
      <c r="B71" s="43"/>
      <c r="C71" s="50"/>
    </row>
    <row r="72" spans="1:4" s="26" customFormat="1" ht="14.25" hidden="1">
      <c r="A72" s="573" t="s">
        <v>58</v>
      </c>
      <c r="B72" s="573"/>
      <c r="C72" s="50"/>
      <c r="D72" s="87">
        <f>214007*1.2+26500</f>
        <v>283308.4</v>
      </c>
    </row>
    <row r="73" spans="1:4" s="26" customFormat="1" ht="12.75" customHeight="1" hidden="1">
      <c r="A73" s="46" t="s">
        <v>60</v>
      </c>
      <c r="B73" s="45"/>
      <c r="C73" s="50"/>
      <c r="D73" s="87">
        <f>D74+D75+D76</f>
        <v>55123.200000000004</v>
      </c>
    </row>
    <row r="74" spans="1:4" s="26" customFormat="1" ht="12.75" hidden="1">
      <c r="A74" s="46" t="s">
        <v>59</v>
      </c>
      <c r="B74" s="45"/>
      <c r="C74" s="50"/>
      <c r="D74" s="87">
        <f>32600*1.2</f>
        <v>39120</v>
      </c>
    </row>
    <row r="75" spans="1:4" s="26" customFormat="1" ht="15" hidden="1">
      <c r="A75" s="43" t="s">
        <v>61</v>
      </c>
      <c r="B75" s="43"/>
      <c r="C75" s="50"/>
      <c r="D75" s="87">
        <f>8547*1.2</f>
        <v>10256.4</v>
      </c>
    </row>
    <row r="76" spans="1:4" s="26" customFormat="1" ht="14.25" hidden="1">
      <c r="A76" s="573" t="s">
        <v>62</v>
      </c>
      <c r="B76" s="573"/>
      <c r="C76" s="50"/>
      <c r="D76" s="87">
        <f>4789*1.2</f>
        <v>5746.8</v>
      </c>
    </row>
    <row r="77" spans="1:4" s="52" customFormat="1" ht="15" hidden="1">
      <c r="A77" s="94" t="s">
        <v>63</v>
      </c>
      <c r="B77" s="45"/>
      <c r="C77" s="51"/>
      <c r="D77" s="93">
        <f>D72+D73</f>
        <v>338431.60000000003</v>
      </c>
    </row>
    <row r="78" spans="1:6" s="26" customFormat="1" ht="15">
      <c r="A78" s="47"/>
      <c r="B78" s="45"/>
      <c r="F78" s="92"/>
    </row>
    <row r="79" spans="1:3" s="26" customFormat="1" ht="15">
      <c r="A79" s="43" t="s">
        <v>69</v>
      </c>
      <c r="B79" s="43"/>
      <c r="C79" s="87">
        <f>C23+C24+C25</f>
        <v>31022</v>
      </c>
    </row>
    <row r="80" spans="1:3" s="26" customFormat="1" ht="15">
      <c r="A80" s="43" t="s">
        <v>70</v>
      </c>
      <c r="B80" s="44"/>
      <c r="C80" s="87">
        <f>C18-C79</f>
        <v>183779</v>
      </c>
    </row>
    <row r="81" spans="1:3" s="26" customFormat="1" ht="15">
      <c r="A81" s="48" t="s">
        <v>71</v>
      </c>
      <c r="B81" s="49"/>
      <c r="C81" s="149">
        <v>37373</v>
      </c>
    </row>
    <row r="82" spans="1:3" s="26" customFormat="1" ht="15">
      <c r="A82" s="48" t="s">
        <v>72</v>
      </c>
      <c r="B82" s="49"/>
      <c r="C82" s="150">
        <f>C39-C81</f>
        <v>177427.6666666667</v>
      </c>
    </row>
    <row r="83" spans="1:2" s="26" customFormat="1" ht="15">
      <c r="A83" s="43"/>
      <c r="B83" s="43"/>
    </row>
    <row r="84" spans="1:3" s="26" customFormat="1" ht="14.25">
      <c r="A84" s="573" t="s">
        <v>73</v>
      </c>
      <c r="B84" s="573"/>
      <c r="C84" s="87"/>
    </row>
    <row r="85" spans="1:3" s="26" customFormat="1" ht="12.75">
      <c r="A85" s="151" t="s">
        <v>74</v>
      </c>
      <c r="C85" s="152"/>
    </row>
    <row r="86" s="26" customFormat="1" ht="12.75"/>
    <row r="87" s="26" customFormat="1" ht="12.75"/>
    <row r="92" ht="12.75">
      <c r="K92">
        <f>3310*(14.66/11.97)-7335</f>
        <v>-3281.148705096073</v>
      </c>
    </row>
    <row r="93" ht="12.75">
      <c r="K93">
        <f>3281*(52722/(52722+75395))</f>
        <v>1350.1789926395404</v>
      </c>
    </row>
    <row r="94" ht="12.75">
      <c r="K94">
        <f>3281*(75395/(52722+75395))</f>
        <v>1930.8210073604596</v>
      </c>
    </row>
  </sheetData>
  <sheetProtection/>
  <mergeCells count="19">
    <mergeCell ref="J27:J28"/>
    <mergeCell ref="A1:D1"/>
    <mergeCell ref="A2:D2"/>
    <mergeCell ref="A3:D3"/>
    <mergeCell ref="C5:D5"/>
    <mergeCell ref="A27:A28"/>
    <mergeCell ref="B27:B28"/>
    <mergeCell ref="C27:C28"/>
    <mergeCell ref="D27:D28"/>
    <mergeCell ref="A68:I68"/>
    <mergeCell ref="A69:B69"/>
    <mergeCell ref="A72:B72"/>
    <mergeCell ref="A76:B76"/>
    <mergeCell ref="A84:B84"/>
    <mergeCell ref="E27:E28"/>
    <mergeCell ref="F27:F28"/>
    <mergeCell ref="G27:G28"/>
    <mergeCell ref="H27:H28"/>
    <mergeCell ref="I27:I28"/>
  </mergeCells>
  <printOptions/>
  <pageMargins left="0" right="0" top="0" bottom="0" header="0.31496062992125984" footer="0.31496062992125984"/>
  <pageSetup fitToHeight="1" fitToWidth="1"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sheetPr>
    <pageSetUpPr fitToPage="1"/>
  </sheetPr>
  <dimension ref="A1:GZ76"/>
  <sheetViews>
    <sheetView zoomScalePageLayoutView="0" workbookViewId="0" topLeftCell="A37">
      <selection activeCell="E68" sqref="E68"/>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hidden="1" customWidth="1"/>
    <col min="12" max="12" width="11.421875" style="0" bestFit="1" customWidth="1"/>
    <col min="13" max="13" width="12.140625" style="26" customWidth="1"/>
    <col min="14" max="14" width="9.8515625" style="26" customWidth="1"/>
    <col min="15" max="15" width="11.140625" style="26" customWidth="1"/>
    <col min="16" max="20" width="9.140625" style="26" customWidth="1"/>
  </cols>
  <sheetData>
    <row r="1" spans="1:10" ht="23.25" customHeight="1">
      <c r="A1" s="578" t="s">
        <v>20</v>
      </c>
      <c r="B1" s="578"/>
      <c r="C1" s="578"/>
      <c r="D1" s="578"/>
      <c r="G1" s="595" t="s">
        <v>129</v>
      </c>
      <c r="H1" s="595"/>
      <c r="I1" s="595"/>
      <c r="J1" s="595"/>
    </row>
    <row r="2" spans="1:10" ht="12.75" customHeight="1">
      <c r="A2" s="579" t="s">
        <v>118</v>
      </c>
      <c r="B2" s="579"/>
      <c r="C2" s="579"/>
      <c r="D2" s="579"/>
      <c r="G2" s="595"/>
      <c r="H2" s="595"/>
      <c r="I2" s="595"/>
      <c r="J2" s="595"/>
    </row>
    <row r="3" spans="1:10" ht="12.75" customHeight="1">
      <c r="A3" s="213"/>
      <c r="B3" s="213"/>
      <c r="C3" s="213"/>
      <c r="D3" s="213"/>
      <c r="G3" s="595"/>
      <c r="H3" s="595"/>
      <c r="I3" s="595"/>
      <c r="J3" s="595"/>
    </row>
    <row r="4" spans="1:10" ht="12.75" customHeight="1">
      <c r="A4" s="598" t="s">
        <v>130</v>
      </c>
      <c r="B4" s="598"/>
      <c r="C4" s="598"/>
      <c r="D4" s="598"/>
      <c r="G4" s="595"/>
      <c r="H4" s="595"/>
      <c r="I4" s="595"/>
      <c r="J4" s="595"/>
    </row>
    <row r="5" spans="1:10" ht="13.5" customHeight="1" thickBot="1">
      <c r="A5" s="29"/>
      <c r="B5" s="29"/>
      <c r="C5" s="29"/>
      <c r="D5" s="29"/>
      <c r="G5" s="595"/>
      <c r="H5" s="595"/>
      <c r="I5" s="595"/>
      <c r="J5" s="595"/>
    </row>
    <row r="6" spans="1:12" ht="37.5" customHeight="1" thickBot="1">
      <c r="A6" s="63" t="s">
        <v>0</v>
      </c>
      <c r="B6" s="64" t="s">
        <v>1</v>
      </c>
      <c r="C6" s="581" t="s">
        <v>75</v>
      </c>
      <c r="D6" s="582"/>
      <c r="F6" s="54"/>
      <c r="J6" s="54"/>
      <c r="K6" s="54"/>
      <c r="L6" s="54"/>
    </row>
    <row r="7" spans="1:4" ht="19.5" customHeight="1">
      <c r="A7" s="95" t="s">
        <v>2</v>
      </c>
      <c r="B7" s="96" t="s">
        <v>3</v>
      </c>
      <c r="C7" s="278">
        <f>SUM(C8:C13)</f>
        <v>60934</v>
      </c>
      <c r="D7" s="155">
        <f>SUM(D8:D13)</f>
        <v>1</v>
      </c>
    </row>
    <row r="8" spans="1:20" s="6" customFormat="1" ht="21" customHeight="1">
      <c r="A8" s="58" t="s">
        <v>4</v>
      </c>
      <c r="B8" s="59" t="s">
        <v>3</v>
      </c>
      <c r="C8" s="60">
        <v>14787</v>
      </c>
      <c r="D8" s="157">
        <f aca="true" t="shared" si="0" ref="D8:D13">C8/$C$7</f>
        <v>0.2426723996455181</v>
      </c>
      <c r="F8" s="55"/>
      <c r="J8" s="55"/>
      <c r="K8" s="55"/>
      <c r="L8" s="55"/>
      <c r="M8" s="35"/>
      <c r="N8" s="35"/>
      <c r="O8" s="35"/>
      <c r="P8" s="35"/>
      <c r="Q8" s="35"/>
      <c r="R8" s="35"/>
      <c r="S8" s="35"/>
      <c r="T8" s="35"/>
    </row>
    <row r="9" spans="1:20" s="6" customFormat="1" ht="21" customHeight="1">
      <c r="A9" s="58" t="s">
        <v>8</v>
      </c>
      <c r="B9" s="59" t="s">
        <v>3</v>
      </c>
      <c r="C9" s="60">
        <v>4492</v>
      </c>
      <c r="D9" s="157">
        <f t="shared" si="0"/>
        <v>0.07371910591787836</v>
      </c>
      <c r="E9" s="35"/>
      <c r="M9" s="35"/>
      <c r="N9" s="35"/>
      <c r="O9" s="35"/>
      <c r="P9" s="35"/>
      <c r="Q9" s="35"/>
      <c r="R9" s="35"/>
      <c r="S9" s="35"/>
      <c r="T9" s="35"/>
    </row>
    <row r="10" spans="1:20" s="6" customFormat="1" ht="21" customHeight="1">
      <c r="A10" s="58" t="s">
        <v>5</v>
      </c>
      <c r="B10" s="59" t="s">
        <v>3</v>
      </c>
      <c r="C10" s="60">
        <v>29773</v>
      </c>
      <c r="D10" s="157">
        <f t="shared" si="0"/>
        <v>0.48861062789247384</v>
      </c>
      <c r="M10" s="35"/>
      <c r="N10" s="35"/>
      <c r="O10" s="35"/>
      <c r="P10" s="35"/>
      <c r="Q10" s="35"/>
      <c r="R10" s="35"/>
      <c r="S10" s="35"/>
      <c r="T10" s="35"/>
    </row>
    <row r="11" spans="1:20" s="6" customFormat="1" ht="21" customHeight="1">
      <c r="A11" s="252" t="s">
        <v>120</v>
      </c>
      <c r="B11" s="59" t="s">
        <v>3</v>
      </c>
      <c r="C11" s="277">
        <v>5858</v>
      </c>
      <c r="D11" s="157">
        <f t="shared" si="0"/>
        <v>0.09613680375488233</v>
      </c>
      <c r="M11" s="35"/>
      <c r="N11" s="35"/>
      <c r="O11" s="35"/>
      <c r="P11" s="35"/>
      <c r="Q11" s="35"/>
      <c r="R11" s="35"/>
      <c r="S11" s="35"/>
      <c r="T11" s="35"/>
    </row>
    <row r="12" spans="1:15" ht="21" customHeight="1">
      <c r="A12" s="99" t="s">
        <v>65</v>
      </c>
      <c r="B12" s="100" t="s">
        <v>3</v>
      </c>
      <c r="C12" s="101">
        <v>5372</v>
      </c>
      <c r="D12" s="157">
        <f t="shared" si="0"/>
        <v>0.08816096103981357</v>
      </c>
      <c r="L12" s="28"/>
      <c r="O12" s="50"/>
    </row>
    <row r="13" spans="1:15" ht="21" customHeight="1" thickBot="1">
      <c r="A13" s="58" t="s">
        <v>66</v>
      </c>
      <c r="B13" s="59" t="s">
        <v>3</v>
      </c>
      <c r="C13" s="102">
        <v>652</v>
      </c>
      <c r="D13" s="158">
        <f t="shared" si="0"/>
        <v>0.010700101749433814</v>
      </c>
      <c r="I13" s="26"/>
      <c r="O13" s="50"/>
    </row>
    <row r="14" spans="1:15" ht="12" customHeight="1" hidden="1">
      <c r="A14" s="8" t="s">
        <v>7</v>
      </c>
      <c r="B14" s="4" t="s">
        <v>3</v>
      </c>
      <c r="C14" s="7">
        <v>663</v>
      </c>
      <c r="I14" s="39"/>
      <c r="N14" s="39"/>
      <c r="O14" s="279"/>
    </row>
    <row r="15" spans="1:15" ht="15.75" customHeight="1" thickBot="1">
      <c r="A15" s="65"/>
      <c r="B15" s="66"/>
      <c r="C15" s="67"/>
      <c r="F15" s="61"/>
      <c r="G15" s="61"/>
      <c r="H15" s="61"/>
      <c r="I15" s="56"/>
      <c r="O15" s="50"/>
    </row>
    <row r="16" spans="1:9" ht="100.5" customHeight="1" thickBot="1">
      <c r="A16" s="63" t="s">
        <v>0</v>
      </c>
      <c r="B16" s="64" t="s">
        <v>1</v>
      </c>
      <c r="C16" s="75" t="s">
        <v>24</v>
      </c>
      <c r="D16" s="75" t="s">
        <v>25</v>
      </c>
      <c r="E16" s="83" t="s">
        <v>41</v>
      </c>
      <c r="F16" s="75" t="s">
        <v>22</v>
      </c>
      <c r="G16" s="68" t="s">
        <v>38</v>
      </c>
      <c r="H16" s="68" t="s">
        <v>39</v>
      </c>
      <c r="I16" s="75" t="s">
        <v>23</v>
      </c>
    </row>
    <row r="17" spans="1:12" ht="16.5" customHeight="1" thickBot="1">
      <c r="A17" s="70">
        <v>1</v>
      </c>
      <c r="B17" s="69">
        <v>2</v>
      </c>
      <c r="C17" s="68">
        <v>3</v>
      </c>
      <c r="D17" s="68">
        <v>4</v>
      </c>
      <c r="E17" s="68">
        <v>5</v>
      </c>
      <c r="F17" s="68">
        <v>6</v>
      </c>
      <c r="G17" s="68">
        <v>7</v>
      </c>
      <c r="H17" s="68">
        <v>8</v>
      </c>
      <c r="I17" s="68">
        <v>9</v>
      </c>
      <c r="J17" s="597" t="s">
        <v>121</v>
      </c>
      <c r="L17" s="591" t="s">
        <v>123</v>
      </c>
    </row>
    <row r="18" spans="1:20" s="108" customFormat="1" ht="19.5" customHeight="1">
      <c r="A18" s="105" t="s">
        <v>33</v>
      </c>
      <c r="B18" s="96" t="s">
        <v>9</v>
      </c>
      <c r="C18" s="260">
        <f aca="true" t="shared" si="1" ref="C18:I18">SUM(C19:C24)</f>
        <v>237022</v>
      </c>
      <c r="D18" s="260">
        <f t="shared" si="1"/>
        <v>86350</v>
      </c>
      <c r="E18" s="260">
        <f t="shared" si="1"/>
        <v>14351</v>
      </c>
      <c r="F18" s="260">
        <f t="shared" si="1"/>
        <v>65323</v>
      </c>
      <c r="G18" s="260">
        <f t="shared" si="1"/>
        <v>51325</v>
      </c>
      <c r="H18" s="260">
        <f t="shared" si="1"/>
        <v>19673</v>
      </c>
      <c r="I18" s="106">
        <f t="shared" si="1"/>
        <v>26500</v>
      </c>
      <c r="J18" s="597"/>
      <c r="K18" s="282">
        <v>-26500</v>
      </c>
      <c r="L18" s="591"/>
      <c r="M18" s="109"/>
      <c r="N18" s="257"/>
      <c r="O18" s="110"/>
      <c r="P18" s="111"/>
      <c r="Q18" s="111"/>
      <c r="R18" s="111"/>
      <c r="S18" s="111"/>
      <c r="T18" s="111"/>
    </row>
    <row r="19" spans="1:20" s="114" customFormat="1" ht="21" customHeight="1">
      <c r="A19" s="58" t="s">
        <v>4</v>
      </c>
      <c r="B19" s="59" t="s">
        <v>9</v>
      </c>
      <c r="C19" s="112">
        <f>SUM(D19:H19)</f>
        <v>60384</v>
      </c>
      <c r="D19" s="112">
        <f>26243-70</f>
        <v>26173</v>
      </c>
      <c r="E19" s="112">
        <v>3482</v>
      </c>
      <c r="F19" s="112">
        <v>15852</v>
      </c>
      <c r="G19" s="112">
        <f>5403+1522+500</f>
        <v>7425</v>
      </c>
      <c r="H19" s="112">
        <v>7452</v>
      </c>
      <c r="I19" s="112">
        <v>11809</v>
      </c>
      <c r="J19" s="107">
        <f>C19+I19-L19</f>
        <v>-10546</v>
      </c>
      <c r="L19" s="107">
        <f>82739</f>
        <v>82739</v>
      </c>
      <c r="M19" s="109">
        <f>L19-C19</f>
        <v>22355</v>
      </c>
      <c r="N19" s="258">
        <f>M19/M22</f>
        <v>0.44562942290441543</v>
      </c>
      <c r="O19" s="79">
        <f>K18*N19</f>
        <v>-11809.179706967008</v>
      </c>
      <c r="P19" s="113"/>
      <c r="Q19" s="115"/>
      <c r="R19" s="113"/>
      <c r="S19" s="113"/>
      <c r="T19" s="113"/>
    </row>
    <row r="20" spans="1:20" s="114" customFormat="1" ht="21" customHeight="1">
      <c r="A20" s="58" t="s">
        <v>10</v>
      </c>
      <c r="B20" s="59" t="s">
        <v>9</v>
      </c>
      <c r="C20" s="112">
        <f>SUM(D20:H20)</f>
        <v>53577</v>
      </c>
      <c r="D20" s="112">
        <f>8513-23</f>
        <v>8490</v>
      </c>
      <c r="E20" s="112">
        <v>1058</v>
      </c>
      <c r="F20" s="112">
        <v>4816</v>
      </c>
      <c r="G20" s="112">
        <f>28445+5889+1000</f>
        <v>35334</v>
      </c>
      <c r="H20" s="112">
        <v>3879</v>
      </c>
      <c r="I20" s="112">
        <v>11632</v>
      </c>
      <c r="J20" s="107">
        <f>C20+I20-L20</f>
        <v>-10387</v>
      </c>
      <c r="L20" s="107">
        <f>75596</f>
        <v>75596</v>
      </c>
      <c r="M20" s="109">
        <f>L20-C20</f>
        <v>22019</v>
      </c>
      <c r="N20" s="258">
        <f>M20/M22</f>
        <v>0.4389315259643177</v>
      </c>
      <c r="O20" s="79">
        <f>K18*N20</f>
        <v>-11631.68543805442</v>
      </c>
      <c r="P20" s="113"/>
      <c r="Q20" s="115"/>
      <c r="R20" s="113"/>
      <c r="S20" s="113"/>
      <c r="T20" s="113"/>
    </row>
    <row r="21" spans="1:20" s="114" customFormat="1" ht="21" customHeight="1">
      <c r="A21" s="58" t="s">
        <v>5</v>
      </c>
      <c r="B21" s="59" t="s">
        <v>9</v>
      </c>
      <c r="C21" s="112">
        <f>SUM(D21:H21)</f>
        <v>87695</v>
      </c>
      <c r="D21" s="112">
        <f>31942-84</f>
        <v>31858</v>
      </c>
      <c r="E21" s="112">
        <v>7012</v>
      </c>
      <c r="F21" s="112">
        <v>31917</v>
      </c>
      <c r="G21" s="112">
        <f>5448+1218+1900</f>
        <v>8566</v>
      </c>
      <c r="H21" s="112">
        <v>8342</v>
      </c>
      <c r="I21" s="112">
        <v>3059</v>
      </c>
      <c r="J21" s="107">
        <f>C21+I21-L21</f>
        <v>-2732</v>
      </c>
      <c r="L21" s="107">
        <f>93486</f>
        <v>93486</v>
      </c>
      <c r="M21" s="109">
        <f>L21-C21</f>
        <v>5791</v>
      </c>
      <c r="N21" s="258">
        <f>M21/M22</f>
        <v>0.11543905113126682</v>
      </c>
      <c r="O21" s="79">
        <f>K18*N21</f>
        <v>-3059.1348549785707</v>
      </c>
      <c r="P21" s="115"/>
      <c r="Q21" s="115"/>
      <c r="R21" s="113"/>
      <c r="S21" s="113"/>
      <c r="T21" s="113"/>
    </row>
    <row r="22" spans="1:20" s="108" customFormat="1" ht="16.5" customHeight="1">
      <c r="A22" s="252" t="s">
        <v>120</v>
      </c>
      <c r="B22" s="59" t="s">
        <v>9</v>
      </c>
      <c r="C22" s="120">
        <f>ROUND(C11*3,0)</f>
        <v>17574</v>
      </c>
      <c r="D22" s="112">
        <v>9914</v>
      </c>
      <c r="E22" s="112">
        <v>1380</v>
      </c>
      <c r="F22" s="112">
        <v>6280</v>
      </c>
      <c r="G22" s="112"/>
      <c r="H22" s="112"/>
      <c r="I22" s="112"/>
      <c r="J22" s="107"/>
      <c r="K22" s="107"/>
      <c r="L22" s="107"/>
      <c r="M22" s="109">
        <f>SUM(M19:M21)</f>
        <v>50165</v>
      </c>
      <c r="N22" s="259"/>
      <c r="O22" s="118"/>
      <c r="P22" s="109"/>
      <c r="Q22" s="111"/>
      <c r="R22" s="111"/>
      <c r="S22" s="111"/>
      <c r="T22" s="111"/>
    </row>
    <row r="23" spans="1:20" s="108" customFormat="1" ht="21" customHeight="1">
      <c r="A23" s="119" t="s">
        <v>65</v>
      </c>
      <c r="B23" s="59" t="s">
        <v>9</v>
      </c>
      <c r="C23" s="120">
        <f>ROUND(C12*3,0)</f>
        <v>16116</v>
      </c>
      <c r="D23" s="112">
        <v>9092</v>
      </c>
      <c r="E23" s="120">
        <v>1265</v>
      </c>
      <c r="F23" s="120">
        <v>5759</v>
      </c>
      <c r="G23" s="120"/>
      <c r="H23" s="120"/>
      <c r="I23" s="60"/>
      <c r="J23" s="107"/>
      <c r="K23" s="107"/>
      <c r="L23" s="163"/>
      <c r="M23" s="107"/>
      <c r="N23" s="258"/>
      <c r="O23" s="107"/>
      <c r="P23" s="111"/>
      <c r="Q23" s="111"/>
      <c r="R23" s="111"/>
      <c r="S23" s="111"/>
      <c r="T23" s="111"/>
    </row>
    <row r="24" spans="1:20" s="108" customFormat="1" ht="21" customHeight="1" thickBot="1">
      <c r="A24" s="121" t="s">
        <v>66</v>
      </c>
      <c r="B24" s="122" t="s">
        <v>9</v>
      </c>
      <c r="C24" s="123">
        <f>ROUND(C13*2.57,0)</f>
        <v>1676</v>
      </c>
      <c r="D24" s="124">
        <v>823</v>
      </c>
      <c r="E24" s="123">
        <v>154</v>
      </c>
      <c r="F24" s="123">
        <v>699</v>
      </c>
      <c r="G24" s="123"/>
      <c r="H24" s="123"/>
      <c r="I24" s="125"/>
      <c r="J24" s="107"/>
      <c r="K24" s="107"/>
      <c r="L24" s="107"/>
      <c r="M24" s="126"/>
      <c r="N24" s="126"/>
      <c r="O24" s="126"/>
      <c r="P24" s="109"/>
      <c r="Q24" s="111"/>
      <c r="R24" s="111"/>
      <c r="S24" s="111"/>
      <c r="T24" s="111"/>
    </row>
    <row r="25" spans="1:12" ht="14.25" customHeight="1" thickBot="1">
      <c r="A25" s="103"/>
      <c r="B25" s="23"/>
      <c r="C25" s="261"/>
      <c r="D25" s="168"/>
      <c r="E25" s="168"/>
      <c r="F25" s="262"/>
      <c r="G25" s="168"/>
      <c r="H25" s="168"/>
      <c r="I25" s="26"/>
      <c r="J25" s="6"/>
      <c r="K25" s="27"/>
      <c r="L25" s="6"/>
    </row>
    <row r="26" spans="1:12" ht="44.25" customHeight="1">
      <c r="A26" s="583" t="s">
        <v>0</v>
      </c>
      <c r="B26" s="585" t="s">
        <v>1</v>
      </c>
      <c r="C26" s="593" t="s">
        <v>45</v>
      </c>
      <c r="D26" s="593" t="s">
        <v>67</v>
      </c>
      <c r="E26" s="593" t="s">
        <v>26</v>
      </c>
      <c r="F26" s="593" t="s">
        <v>40</v>
      </c>
      <c r="G26" s="593" t="s">
        <v>27</v>
      </c>
      <c r="H26" s="593" t="s">
        <v>28</v>
      </c>
      <c r="I26" s="574" t="s">
        <v>37</v>
      </c>
      <c r="J26" s="576" t="s">
        <v>29</v>
      </c>
      <c r="K26" s="6"/>
      <c r="L26" s="6"/>
    </row>
    <row r="27" spans="1:12" ht="87.75" customHeight="1" thickBot="1">
      <c r="A27" s="584"/>
      <c r="B27" s="586"/>
      <c r="C27" s="594"/>
      <c r="D27" s="594"/>
      <c r="E27" s="594"/>
      <c r="F27" s="594"/>
      <c r="G27" s="594"/>
      <c r="H27" s="594"/>
      <c r="I27" s="575"/>
      <c r="J27" s="577"/>
      <c r="K27" s="6"/>
      <c r="L27" s="6"/>
    </row>
    <row r="28" spans="1:10" ht="16.5" customHeight="1" thickBot="1">
      <c r="A28" s="74">
        <v>1</v>
      </c>
      <c r="B28" s="64">
        <v>2</v>
      </c>
      <c r="C28" s="263">
        <v>3</v>
      </c>
      <c r="D28" s="263">
        <v>4</v>
      </c>
      <c r="E28" s="263">
        <v>5</v>
      </c>
      <c r="F28" s="263">
        <v>6</v>
      </c>
      <c r="G28" s="263">
        <v>7</v>
      </c>
      <c r="H28" s="263">
        <v>8</v>
      </c>
      <c r="I28" s="75">
        <v>9</v>
      </c>
      <c r="J28" s="75">
        <v>9</v>
      </c>
    </row>
    <row r="29" spans="1:12" ht="16.5" customHeight="1">
      <c r="A29" s="11" t="s">
        <v>34</v>
      </c>
      <c r="B29" s="76"/>
      <c r="C29" s="264"/>
      <c r="D29" s="264"/>
      <c r="E29" s="264"/>
      <c r="F29" s="264"/>
      <c r="G29" s="264"/>
      <c r="H29" s="264"/>
      <c r="I29" s="77"/>
      <c r="J29" s="77"/>
      <c r="L29" s="164"/>
    </row>
    <row r="30" spans="1:20" s="6" customFormat="1" ht="12" customHeight="1">
      <c r="A30" s="30" t="s">
        <v>35</v>
      </c>
      <c r="B30" s="31" t="s">
        <v>11</v>
      </c>
      <c r="C30" s="253">
        <f>D30+J30</f>
        <v>4.878606884425509</v>
      </c>
      <c r="D30" s="81">
        <f>E30+F30+G30+H30+I30</f>
        <v>4.08</v>
      </c>
      <c r="E30" s="276">
        <f aca="true" t="shared" si="2" ref="E30:E35">ROUND(D19/C8,2)</f>
        <v>1.77</v>
      </c>
      <c r="F30" s="81">
        <f aca="true" t="shared" si="3" ref="F30:F35">ROUND(E19/C8,2)</f>
        <v>0.24</v>
      </c>
      <c r="G30" s="81">
        <f aca="true" t="shared" si="4" ref="G30:G35">ROUND(F19/C8,2)</f>
        <v>1.07</v>
      </c>
      <c r="H30" s="81">
        <f>ROUND(G19/C8,2)</f>
        <v>0.5</v>
      </c>
      <c r="I30" s="81">
        <f>ROUND(H19/C8,2)</f>
        <v>0.5</v>
      </c>
      <c r="J30" s="81">
        <f>I19/C8</f>
        <v>0.7986068844255089</v>
      </c>
      <c r="K30" s="86"/>
      <c r="L30" s="86"/>
      <c r="M30" s="89"/>
      <c r="N30" s="90"/>
      <c r="O30" s="35"/>
      <c r="P30" s="35"/>
      <c r="Q30" s="88"/>
      <c r="R30" s="35"/>
      <c r="S30" s="35"/>
      <c r="T30" s="35"/>
    </row>
    <row r="31" spans="1:20" s="6" customFormat="1" ht="12" customHeight="1">
      <c r="A31" s="13" t="s">
        <v>36</v>
      </c>
      <c r="B31" s="4" t="s">
        <v>11</v>
      </c>
      <c r="C31" s="253">
        <f>D31+J31</f>
        <v>14.519492430988423</v>
      </c>
      <c r="D31" s="81">
        <f>E31+F31+G31+H31+I31</f>
        <v>11.93</v>
      </c>
      <c r="E31" s="276">
        <f t="shared" si="2"/>
        <v>1.89</v>
      </c>
      <c r="F31" s="81">
        <f t="shared" si="3"/>
        <v>0.24</v>
      </c>
      <c r="G31" s="81">
        <f t="shared" si="4"/>
        <v>1.07</v>
      </c>
      <c r="H31" s="81">
        <f>ROUND(G20/C9,2)</f>
        <v>7.87</v>
      </c>
      <c r="I31" s="81">
        <f>ROUND(H20/C9,2)</f>
        <v>0.86</v>
      </c>
      <c r="J31" s="81">
        <f>I20/C9</f>
        <v>2.589492430988424</v>
      </c>
      <c r="K31" s="86"/>
      <c r="L31" s="27"/>
      <c r="M31" s="89"/>
      <c r="N31" s="35"/>
      <c r="O31" s="35"/>
      <c r="P31" s="35"/>
      <c r="Q31" s="90"/>
      <c r="R31" s="35"/>
      <c r="S31" s="35"/>
      <c r="T31" s="35"/>
    </row>
    <row r="32" spans="1:20" s="6" customFormat="1" ht="12" customHeight="1">
      <c r="A32" s="13" t="str">
        <f>A21</f>
        <v>"Столичен автотранспорт" ЕАД</v>
      </c>
      <c r="B32" s="4" t="s">
        <v>11</v>
      </c>
      <c r="C32" s="253">
        <f>D32+J32</f>
        <v>3.0527440970006383</v>
      </c>
      <c r="D32" s="81">
        <f>E32+F32+G32+H32+I32</f>
        <v>2.95</v>
      </c>
      <c r="E32" s="276">
        <f t="shared" si="2"/>
        <v>1.07</v>
      </c>
      <c r="F32" s="81">
        <f t="shared" si="3"/>
        <v>0.24</v>
      </c>
      <c r="G32" s="81">
        <f t="shared" si="4"/>
        <v>1.07</v>
      </c>
      <c r="H32" s="81">
        <f>ROUND(G21/C10,2)</f>
        <v>0.29</v>
      </c>
      <c r="I32" s="81">
        <f>ROUND(H21/C10,2)</f>
        <v>0.28</v>
      </c>
      <c r="J32" s="81">
        <f>I21/C10</f>
        <v>0.10274409700063816</v>
      </c>
      <c r="K32" s="86"/>
      <c r="L32" s="27"/>
      <c r="M32" s="89"/>
      <c r="N32" s="35"/>
      <c r="O32" s="35"/>
      <c r="P32" s="35"/>
      <c r="Q32" s="90"/>
      <c r="R32" s="35"/>
      <c r="S32" s="35"/>
      <c r="T32" s="35"/>
    </row>
    <row r="33" spans="1:20" s="6" customFormat="1" ht="12" customHeight="1">
      <c r="A33" s="13" t="str">
        <f>A22</f>
        <v>"MTK Гроуп" ООД</v>
      </c>
      <c r="B33" s="4" t="s">
        <v>11</v>
      </c>
      <c r="C33" s="33">
        <v>3</v>
      </c>
      <c r="D33" s="81">
        <v>3</v>
      </c>
      <c r="E33" s="81">
        <f t="shared" si="2"/>
        <v>1.69</v>
      </c>
      <c r="F33" s="81">
        <f t="shared" si="3"/>
        <v>0.24</v>
      </c>
      <c r="G33" s="81">
        <f t="shared" si="4"/>
        <v>1.07</v>
      </c>
      <c r="H33" s="265"/>
      <c r="I33" s="14"/>
      <c r="J33" s="14"/>
      <c r="M33" s="89"/>
      <c r="N33" s="35"/>
      <c r="O33" s="35"/>
      <c r="P33" s="35"/>
      <c r="Q33" s="35"/>
      <c r="R33" s="35"/>
      <c r="S33" s="35"/>
      <c r="T33" s="35"/>
    </row>
    <row r="34" spans="1:13" ht="12" customHeight="1">
      <c r="A34" s="30" t="s">
        <v>65</v>
      </c>
      <c r="B34" s="31" t="s">
        <v>11</v>
      </c>
      <c r="C34" s="266" t="s">
        <v>95</v>
      </c>
      <c r="D34" s="266" t="s">
        <v>95</v>
      </c>
      <c r="E34" s="81">
        <f t="shared" si="2"/>
        <v>1.69</v>
      </c>
      <c r="F34" s="81">
        <f t="shared" si="3"/>
        <v>0.24</v>
      </c>
      <c r="G34" s="81">
        <f t="shared" si="4"/>
        <v>1.07</v>
      </c>
      <c r="H34" s="267"/>
      <c r="I34" s="32"/>
      <c r="J34" s="32"/>
      <c r="M34" s="89"/>
    </row>
    <row r="35" spans="1:13" ht="12" customHeight="1" thickBot="1">
      <c r="A35" s="127" t="s">
        <v>6</v>
      </c>
      <c r="B35" s="10" t="s">
        <v>11</v>
      </c>
      <c r="C35" s="268">
        <v>2.57</v>
      </c>
      <c r="D35" s="82">
        <v>2.57</v>
      </c>
      <c r="E35" s="82">
        <f t="shared" si="2"/>
        <v>1.26</v>
      </c>
      <c r="F35" s="82">
        <f t="shared" si="3"/>
        <v>0.24</v>
      </c>
      <c r="G35" s="82">
        <f t="shared" si="4"/>
        <v>1.07</v>
      </c>
      <c r="H35" s="269"/>
      <c r="I35" s="34"/>
      <c r="J35" s="34"/>
      <c r="M35" s="89"/>
    </row>
    <row r="36" spans="1:8" ht="14.25" customHeight="1" thickBot="1">
      <c r="A36" s="15"/>
      <c r="B36" s="16"/>
      <c r="C36" s="270"/>
      <c r="D36" s="168"/>
      <c r="E36" s="168"/>
      <c r="F36" s="168"/>
      <c r="G36" s="168"/>
      <c r="H36" s="168"/>
    </row>
    <row r="37" spans="1:8" ht="19.5" customHeight="1">
      <c r="A37" s="17" t="s">
        <v>12</v>
      </c>
      <c r="B37" s="18" t="s">
        <v>9</v>
      </c>
      <c r="C37" s="271">
        <f>C38+C40+C43+C45</f>
        <v>237022</v>
      </c>
      <c r="D37" s="272"/>
      <c r="E37" s="168" t="s">
        <v>17</v>
      </c>
      <c r="F37" s="273"/>
      <c r="G37" s="168"/>
      <c r="H37" s="168"/>
    </row>
    <row r="38" spans="1:9" ht="16.5" customHeight="1">
      <c r="A38" s="58" t="s">
        <v>18</v>
      </c>
      <c r="B38" s="59" t="s">
        <v>9</v>
      </c>
      <c r="C38" s="120">
        <f>C39</f>
        <v>86350</v>
      </c>
      <c r="D38" s="274"/>
      <c r="E38" s="168"/>
      <c r="F38" s="168"/>
      <c r="G38" s="168"/>
      <c r="H38" s="168"/>
      <c r="I38" s="57"/>
    </row>
    <row r="39" spans="1:9" ht="12.75" customHeight="1">
      <c r="A39" s="8" t="s">
        <v>19</v>
      </c>
      <c r="B39" s="4" t="s">
        <v>9</v>
      </c>
      <c r="C39" s="275">
        <v>86350</v>
      </c>
      <c r="D39" s="183"/>
      <c r="E39" s="168"/>
      <c r="F39" s="168"/>
      <c r="G39" s="168"/>
      <c r="H39" s="168"/>
      <c r="I39" s="57"/>
    </row>
    <row r="40" spans="1:9" ht="12.75" customHeight="1">
      <c r="A40" s="3" t="s">
        <v>13</v>
      </c>
      <c r="B40" s="4" t="s">
        <v>9</v>
      </c>
      <c r="C40" s="280">
        <f>C41</f>
        <v>65323</v>
      </c>
      <c r="D40" s="261"/>
      <c r="E40" s="168"/>
      <c r="F40" s="168"/>
      <c r="G40" s="168"/>
      <c r="H40" s="168"/>
      <c r="I40" s="57"/>
    </row>
    <row r="41" spans="1:9" ht="12" customHeight="1">
      <c r="A41" s="9" t="s">
        <v>31</v>
      </c>
      <c r="B41" s="4" t="s">
        <v>9</v>
      </c>
      <c r="C41" s="281">
        <v>65323</v>
      </c>
      <c r="D41" s="80"/>
      <c r="I41" s="57"/>
    </row>
    <row r="42" spans="1:9" ht="12" customHeight="1" hidden="1">
      <c r="A42" s="9" t="s">
        <v>14</v>
      </c>
      <c r="B42" s="4" t="s">
        <v>9</v>
      </c>
      <c r="C42" s="19"/>
      <c r="D42" s="80"/>
      <c r="I42" s="57"/>
    </row>
    <row r="43" spans="1:9" ht="13.5" customHeight="1">
      <c r="A43" s="3" t="s">
        <v>15</v>
      </c>
      <c r="B43" s="4" t="s">
        <v>9</v>
      </c>
      <c r="C43" s="5">
        <f>C44</f>
        <v>14351</v>
      </c>
      <c r="D43" s="25"/>
      <c r="I43" s="57"/>
    </row>
    <row r="44" spans="1:9" ht="12" customHeight="1">
      <c r="A44" s="8" t="s">
        <v>42</v>
      </c>
      <c r="B44" s="4" t="s">
        <v>9</v>
      </c>
      <c r="C44" s="12">
        <v>14351</v>
      </c>
      <c r="D44" s="24"/>
      <c r="F44" s="254"/>
      <c r="I44" s="57"/>
    </row>
    <row r="45" spans="1:9" ht="15" customHeight="1">
      <c r="A45" s="3" t="s">
        <v>16</v>
      </c>
      <c r="B45" s="4" t="s">
        <v>9</v>
      </c>
      <c r="C45" s="5">
        <f>C46+C47+C48</f>
        <v>70998</v>
      </c>
      <c r="D45" s="25"/>
      <c r="H45" s="254"/>
      <c r="I45" s="57"/>
    </row>
    <row r="46" spans="1:20" s="6" customFormat="1" ht="12" customHeight="1">
      <c r="A46" s="20" t="s">
        <v>4</v>
      </c>
      <c r="B46" s="4" t="s">
        <v>9</v>
      </c>
      <c r="C46" s="12">
        <f>+G19+H19</f>
        <v>14877</v>
      </c>
      <c r="D46" s="24"/>
      <c r="F46" s="37"/>
      <c r="M46" s="35"/>
      <c r="N46" s="35"/>
      <c r="O46" s="35"/>
      <c r="P46" s="35"/>
      <c r="Q46" s="35"/>
      <c r="R46" s="35"/>
      <c r="S46" s="35"/>
      <c r="T46" s="35"/>
    </row>
    <row r="47" spans="1:20" s="6" customFormat="1" ht="12" customHeight="1">
      <c r="A47" s="20" t="s">
        <v>5</v>
      </c>
      <c r="B47" s="4" t="s">
        <v>9</v>
      </c>
      <c r="C47" s="12">
        <f>+G21+H21</f>
        <v>16908</v>
      </c>
      <c r="D47" s="24"/>
      <c r="F47" s="255"/>
      <c r="M47" s="35"/>
      <c r="N47" s="35"/>
      <c r="O47" s="35"/>
      <c r="P47" s="35"/>
      <c r="Q47" s="35"/>
      <c r="R47" s="35"/>
      <c r="S47" s="35"/>
      <c r="T47" s="35"/>
    </row>
    <row r="48" spans="1:20" s="6" customFormat="1" ht="12" customHeight="1" thickBot="1">
      <c r="A48" s="21" t="s">
        <v>10</v>
      </c>
      <c r="B48" s="10" t="s">
        <v>9</v>
      </c>
      <c r="C48" s="40">
        <f>+G20+H20</f>
        <v>39213</v>
      </c>
      <c r="D48" s="24"/>
      <c r="G48" s="38"/>
      <c r="H48" s="256"/>
      <c r="M48" s="35"/>
      <c r="N48" s="35"/>
      <c r="O48" s="35"/>
      <c r="P48" s="35"/>
      <c r="Q48" s="35"/>
      <c r="R48" s="35"/>
      <c r="S48" s="35"/>
      <c r="T48" s="35"/>
    </row>
    <row r="49" spans="1:20" s="6" customFormat="1" ht="12" customHeight="1" thickBot="1">
      <c r="A49" s="16"/>
      <c r="B49" s="23"/>
      <c r="C49" s="24"/>
      <c r="D49" s="24"/>
      <c r="G49" s="38"/>
      <c r="H49" s="256"/>
      <c r="M49" s="35"/>
      <c r="N49" s="35"/>
      <c r="O49" s="35"/>
      <c r="P49" s="35"/>
      <c r="Q49" s="35"/>
      <c r="R49" s="35"/>
      <c r="S49" s="35"/>
      <c r="T49" s="35"/>
    </row>
    <row r="50" spans="1:20" s="6" customFormat="1" ht="27.75" customHeight="1">
      <c r="A50" s="283" t="s">
        <v>124</v>
      </c>
      <c r="B50" s="284"/>
      <c r="C50" s="285"/>
      <c r="D50" s="24"/>
      <c r="G50" s="38"/>
      <c r="H50" s="256"/>
      <c r="M50" s="35"/>
      <c r="N50" s="35"/>
      <c r="O50" s="35"/>
      <c r="P50" s="35"/>
      <c r="Q50" s="35"/>
      <c r="R50" s="35"/>
      <c r="S50" s="35"/>
      <c r="T50" s="35"/>
    </row>
    <row r="51" spans="1:20" s="6" customFormat="1" ht="28.5" customHeight="1">
      <c r="A51" s="286" t="s">
        <v>55</v>
      </c>
      <c r="B51" s="287" t="s">
        <v>9</v>
      </c>
      <c r="C51" s="288">
        <f>53705-C52-C53</f>
        <v>35705</v>
      </c>
      <c r="D51" s="294">
        <f>SUM(C51:C53)</f>
        <v>53705</v>
      </c>
      <c r="E51" s="295"/>
      <c r="G51" s="38"/>
      <c r="H51" s="256"/>
      <c r="M51" s="35"/>
      <c r="N51" s="35"/>
      <c r="O51" s="35"/>
      <c r="P51" s="35"/>
      <c r="Q51" s="35"/>
      <c r="R51" s="35"/>
      <c r="S51" s="35"/>
      <c r="T51" s="35"/>
    </row>
    <row r="52" spans="1:20" s="6" customFormat="1" ht="28.5" customHeight="1">
      <c r="A52" s="286" t="s">
        <v>56</v>
      </c>
      <c r="B52" s="59" t="s">
        <v>9</v>
      </c>
      <c r="C52" s="85">
        <v>13000</v>
      </c>
      <c r="D52" s="294"/>
      <c r="E52" s="295"/>
      <c r="G52" s="38"/>
      <c r="H52" s="256"/>
      <c r="M52" s="35"/>
      <c r="N52" s="35"/>
      <c r="O52" s="35"/>
      <c r="P52" s="35"/>
      <c r="Q52" s="35"/>
      <c r="R52" s="35"/>
      <c r="S52" s="35"/>
      <c r="T52" s="35"/>
    </row>
    <row r="53" spans="1:20" s="6" customFormat="1" ht="15">
      <c r="A53" s="286" t="s">
        <v>126</v>
      </c>
      <c r="B53" s="59" t="s">
        <v>9</v>
      </c>
      <c r="C53" s="85">
        <f>5000</f>
        <v>5000</v>
      </c>
      <c r="D53" s="294"/>
      <c r="E53" s="295"/>
      <c r="G53" s="38"/>
      <c r="H53" s="256"/>
      <c r="M53" s="35"/>
      <c r="N53" s="35"/>
      <c r="O53" s="35"/>
      <c r="P53" s="35"/>
      <c r="Q53" s="35"/>
      <c r="R53" s="35"/>
      <c r="S53" s="35"/>
      <c r="T53" s="35"/>
    </row>
    <row r="54" spans="1:20" s="6" customFormat="1" ht="28.5" customHeight="1">
      <c r="A54" s="289" t="s">
        <v>131</v>
      </c>
      <c r="B54" s="59" t="s">
        <v>9</v>
      </c>
      <c r="C54" s="290">
        <f>9508+7178</f>
        <v>16686</v>
      </c>
      <c r="D54" s="294"/>
      <c r="E54" s="296">
        <f>D56-D51</f>
        <v>2013</v>
      </c>
      <c r="G54" s="38"/>
      <c r="H54" s="256"/>
      <c r="M54" s="35"/>
      <c r="N54" s="35"/>
      <c r="O54" s="35"/>
      <c r="P54" s="35"/>
      <c r="Q54" s="35"/>
      <c r="R54" s="35"/>
      <c r="S54" s="35"/>
      <c r="T54" s="35"/>
    </row>
    <row r="55" spans="1:20" s="6" customFormat="1" ht="28.5" customHeight="1">
      <c r="A55" s="289" t="s">
        <v>44</v>
      </c>
      <c r="B55" s="59" t="s">
        <v>9</v>
      </c>
      <c r="C55" s="290">
        <v>2200</v>
      </c>
      <c r="D55" s="294"/>
      <c r="E55" s="295"/>
      <c r="G55" s="38"/>
      <c r="H55" s="256"/>
      <c r="M55" s="35"/>
      <c r="N55" s="35"/>
      <c r="O55" s="35"/>
      <c r="P55" s="35"/>
      <c r="Q55" s="35"/>
      <c r="R55" s="35"/>
      <c r="S55" s="35"/>
      <c r="T55" s="35"/>
    </row>
    <row r="56" spans="1:20" s="6" customFormat="1" ht="28.5" customHeight="1" thickBot="1">
      <c r="A56" s="291" t="s">
        <v>53</v>
      </c>
      <c r="B56" s="292"/>
      <c r="C56" s="140">
        <f>32832+4000</f>
        <v>36832</v>
      </c>
      <c r="D56" s="294">
        <f>SUM(C54:C56)</f>
        <v>55718</v>
      </c>
      <c r="E56" s="295"/>
      <c r="G56" s="38"/>
      <c r="H56" s="256"/>
      <c r="M56" s="35"/>
      <c r="N56" s="35"/>
      <c r="O56" s="35"/>
      <c r="P56" s="35"/>
      <c r="Q56" s="35"/>
      <c r="R56" s="35"/>
      <c r="S56" s="35"/>
      <c r="T56" s="35"/>
    </row>
    <row r="57" spans="1:20" s="6" customFormat="1" ht="12" customHeight="1" thickBot="1">
      <c r="A57" s="16"/>
      <c r="B57" s="23"/>
      <c r="C57" s="24"/>
      <c r="D57" s="24"/>
      <c r="G57" s="38"/>
      <c r="H57" s="256"/>
      <c r="M57" s="35"/>
      <c r="N57" s="35"/>
      <c r="O57" s="35"/>
      <c r="P57" s="35"/>
      <c r="Q57" s="35"/>
      <c r="R57" s="35"/>
      <c r="S57" s="35"/>
      <c r="T57" s="35"/>
    </row>
    <row r="58" spans="1:20" s="168" customFormat="1" ht="21.75" customHeight="1" thickBot="1">
      <c r="A58" s="196" t="s">
        <v>127</v>
      </c>
      <c r="B58" s="198" t="s">
        <v>9</v>
      </c>
      <c r="C58" s="197">
        <f>C18-C37</f>
        <v>0</v>
      </c>
      <c r="K58" s="169"/>
      <c r="M58" s="170"/>
      <c r="N58" s="170"/>
      <c r="O58" s="170"/>
      <c r="P58" s="170"/>
      <c r="Q58" s="170"/>
      <c r="R58" s="170"/>
      <c r="S58" s="170"/>
      <c r="T58" s="170"/>
    </row>
    <row r="59" spans="1:4" s="170" customFormat="1" ht="11.25" customHeight="1">
      <c r="A59" s="181"/>
      <c r="B59" s="182"/>
      <c r="C59" s="183"/>
      <c r="D59" s="183"/>
    </row>
    <row r="60" spans="1:4" s="170" customFormat="1" ht="11.25" customHeight="1">
      <c r="A60" s="181"/>
      <c r="B60" s="182"/>
      <c r="C60" s="183"/>
      <c r="D60" s="183"/>
    </row>
    <row r="61" spans="1:208"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 s="168" customFormat="1" ht="38.25" customHeight="1" thickBot="1">
      <c r="A62" s="184" t="s">
        <v>128</v>
      </c>
      <c r="B62" s="185" t="s">
        <v>9</v>
      </c>
      <c r="C62" s="186">
        <f>C63+C64</f>
        <v>26500</v>
      </c>
      <c r="E62" s="187" t="s">
        <v>50</v>
      </c>
      <c r="G62" s="188"/>
      <c r="H62" s="188"/>
      <c r="M62" s="170"/>
      <c r="N62" s="170"/>
      <c r="O62" s="170"/>
      <c r="P62" s="170"/>
      <c r="Q62" s="170"/>
      <c r="R62" s="170"/>
      <c r="S62" s="170"/>
      <c r="T62" s="170"/>
    </row>
    <row r="63" spans="1:208" s="170" customFormat="1" ht="14.25" customHeight="1">
      <c r="A63" s="189" t="s">
        <v>68</v>
      </c>
      <c r="B63" s="190" t="s">
        <v>9</v>
      </c>
      <c r="C63" s="191">
        <v>8500</v>
      </c>
      <c r="D63" s="44"/>
      <c r="E63" s="44"/>
      <c r="F63" s="44" t="s">
        <v>51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170" customFormat="1" ht="14.25" customHeight="1" thickBot="1">
      <c r="A64" s="192" t="s">
        <v>30</v>
      </c>
      <c r="B64" s="193" t="s">
        <v>9</v>
      </c>
      <c r="C64" s="194">
        <v>18000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6.5" customHeight="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66.75" customHeight="1">
      <c r="A67" s="596"/>
      <c r="B67" s="596"/>
      <c r="C67" s="596"/>
      <c r="D67" s="596"/>
      <c r="E67" s="596"/>
      <c r="F67" s="596"/>
      <c r="G67" s="596"/>
      <c r="H67" s="596"/>
      <c r="I67" s="596"/>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18" customHeight="1">
      <c r="A68" s="572"/>
      <c r="B68" s="57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3" s="26" customFormat="1" ht="12.75">
      <c r="A69" s="46"/>
      <c r="B69" s="45"/>
      <c r="C69" s="50"/>
    </row>
    <row r="70" spans="1:3" s="26" customFormat="1" ht="15">
      <c r="A70" s="43"/>
      <c r="B70" s="43"/>
      <c r="C70" s="50"/>
    </row>
    <row r="71" spans="1:3" s="26" customFormat="1" ht="15">
      <c r="A71" s="43"/>
      <c r="B71" s="44"/>
      <c r="C71" s="87"/>
    </row>
    <row r="72" spans="1:3" s="26" customFormat="1" ht="15">
      <c r="A72" s="48"/>
      <c r="B72" s="49"/>
      <c r="C72" s="149"/>
    </row>
    <row r="73" spans="1:3" s="26" customFormat="1" ht="15">
      <c r="A73" s="48"/>
      <c r="B73" s="49"/>
      <c r="C73" s="150"/>
    </row>
    <row r="74" spans="1:2" s="26" customFormat="1" ht="15">
      <c r="A74" s="43"/>
      <c r="B74" s="43"/>
    </row>
    <row r="75" spans="1:3" s="26" customFormat="1" ht="14.25">
      <c r="A75" s="573"/>
      <c r="B75" s="573"/>
      <c r="C75" s="87"/>
    </row>
    <row r="76" spans="1:3" s="26" customFormat="1" ht="12.75">
      <c r="A76" s="151"/>
      <c r="C76" s="152"/>
    </row>
    <row r="77" s="26" customFormat="1" ht="12.75"/>
    <row r="78" s="26" customFormat="1" ht="12.75"/>
  </sheetData>
  <sheetProtection/>
  <mergeCells count="20">
    <mergeCell ref="F26:F27"/>
    <mergeCell ref="G26:G27"/>
    <mergeCell ref="H26:H27"/>
    <mergeCell ref="I26:I27"/>
    <mergeCell ref="A1:D1"/>
    <mergeCell ref="G1:J5"/>
    <mergeCell ref="A2:D2"/>
    <mergeCell ref="A4:D4"/>
    <mergeCell ref="C6:D6"/>
    <mergeCell ref="J17:J18"/>
    <mergeCell ref="J26:J27"/>
    <mergeCell ref="A67:I67"/>
    <mergeCell ref="A68:B68"/>
    <mergeCell ref="A75:B75"/>
    <mergeCell ref="L17:L18"/>
    <mergeCell ref="A26:A27"/>
    <mergeCell ref="B26:B27"/>
    <mergeCell ref="C26:C27"/>
    <mergeCell ref="D26:D27"/>
    <mergeCell ref="E26:E27"/>
  </mergeCells>
  <printOptions/>
  <pageMargins left="0" right="0" top="0.7480314960629921" bottom="0.7480314960629921" header="0.31496062992125984" footer="0.31496062992125984"/>
  <pageSetup fitToHeight="1" fitToWidth="1" horizontalDpi="600" verticalDpi="600" orientation="portrait" paperSize="9" scale="45" r:id="rId1"/>
</worksheet>
</file>

<file path=xl/worksheets/sheet11.xml><?xml version="1.0" encoding="utf-8"?>
<worksheet xmlns="http://schemas.openxmlformats.org/spreadsheetml/2006/main" xmlns:r="http://schemas.openxmlformats.org/officeDocument/2006/relationships">
  <sheetPr>
    <pageSetUpPr fitToPage="1"/>
  </sheetPr>
  <dimension ref="A1:GZ76"/>
  <sheetViews>
    <sheetView zoomScalePageLayoutView="0" workbookViewId="0" topLeftCell="A1">
      <selection activeCell="A1" sqref="A1:L65"/>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hidden="1" customWidth="1"/>
    <col min="12" max="12" width="11.421875" style="0" bestFit="1" customWidth="1"/>
    <col min="13" max="13" width="12.140625" style="26" customWidth="1"/>
    <col min="14" max="14" width="9.8515625" style="26" customWidth="1"/>
    <col min="15" max="15" width="11.140625" style="26" customWidth="1"/>
    <col min="16" max="20" width="9.140625" style="26" customWidth="1"/>
  </cols>
  <sheetData>
    <row r="1" spans="1:10" ht="23.25" customHeight="1">
      <c r="A1" s="578" t="s">
        <v>20</v>
      </c>
      <c r="B1" s="578"/>
      <c r="C1" s="578"/>
      <c r="D1" s="578"/>
      <c r="G1" s="595" t="s">
        <v>132</v>
      </c>
      <c r="H1" s="595"/>
      <c r="I1" s="595"/>
      <c r="J1" s="595"/>
    </row>
    <row r="2" spans="1:10" ht="12.75" customHeight="1">
      <c r="A2" s="579" t="s">
        <v>118</v>
      </c>
      <c r="B2" s="579"/>
      <c r="C2" s="579"/>
      <c r="D2" s="579"/>
      <c r="G2" s="595"/>
      <c r="H2" s="595"/>
      <c r="I2" s="595"/>
      <c r="J2" s="595"/>
    </row>
    <row r="3" spans="1:10" ht="12.75" customHeight="1">
      <c r="A3" s="213"/>
      <c r="B3" s="213"/>
      <c r="C3" s="213"/>
      <c r="D3" s="213"/>
      <c r="G3" s="595"/>
      <c r="H3" s="595"/>
      <c r="I3" s="595"/>
      <c r="J3" s="595"/>
    </row>
    <row r="4" spans="1:10" ht="12.75" customHeight="1">
      <c r="A4" s="598" t="s">
        <v>134</v>
      </c>
      <c r="B4" s="598"/>
      <c r="C4" s="598"/>
      <c r="D4" s="598"/>
      <c r="G4" s="595"/>
      <c r="H4" s="595"/>
      <c r="I4" s="595"/>
      <c r="J4" s="595"/>
    </row>
    <row r="5" spans="1:10" ht="13.5" customHeight="1" thickBot="1">
      <c r="A5" s="29"/>
      <c r="B5" s="29"/>
      <c r="C5" s="29"/>
      <c r="D5" s="29"/>
      <c r="G5" s="595"/>
      <c r="H5" s="595"/>
      <c r="I5" s="595"/>
      <c r="J5" s="595"/>
    </row>
    <row r="6" spans="1:12" ht="37.5" customHeight="1" thickBot="1">
      <c r="A6" s="63" t="s">
        <v>0</v>
      </c>
      <c r="B6" s="64" t="s">
        <v>1</v>
      </c>
      <c r="C6" s="581" t="s">
        <v>75</v>
      </c>
      <c r="D6" s="582"/>
      <c r="F6" s="54"/>
      <c r="J6" s="54"/>
      <c r="K6" s="54"/>
      <c r="L6" s="54"/>
    </row>
    <row r="7" spans="1:4" ht="19.5" customHeight="1">
      <c r="A7" s="95" t="s">
        <v>2</v>
      </c>
      <c r="B7" s="96" t="s">
        <v>3</v>
      </c>
      <c r="C7" s="278">
        <f>SUM(C8:C13)</f>
        <v>60934</v>
      </c>
      <c r="D7" s="155">
        <f>SUM(D8:D13)</f>
        <v>1</v>
      </c>
    </row>
    <row r="8" spans="1:20" s="6" customFormat="1" ht="21" customHeight="1">
      <c r="A8" s="58" t="s">
        <v>4</v>
      </c>
      <c r="B8" s="59" t="s">
        <v>3</v>
      </c>
      <c r="C8" s="60">
        <v>14787</v>
      </c>
      <c r="D8" s="157">
        <f aca="true" t="shared" si="0" ref="D8:D13">C8/$C$7</f>
        <v>0.2426723996455181</v>
      </c>
      <c r="F8" s="55"/>
      <c r="J8" s="55"/>
      <c r="K8" s="55"/>
      <c r="L8" s="55"/>
      <c r="M8" s="35"/>
      <c r="N8" s="35"/>
      <c r="O8" s="35"/>
      <c r="P8" s="35"/>
      <c r="Q8" s="35"/>
      <c r="R8" s="35"/>
      <c r="S8" s="35"/>
      <c r="T8" s="35"/>
    </row>
    <row r="9" spans="1:20" s="6" customFormat="1" ht="21" customHeight="1">
      <c r="A9" s="58" t="s">
        <v>8</v>
      </c>
      <c r="B9" s="59" t="s">
        <v>3</v>
      </c>
      <c r="C9" s="60">
        <v>4492</v>
      </c>
      <c r="D9" s="157">
        <f t="shared" si="0"/>
        <v>0.07371910591787836</v>
      </c>
      <c r="E9" s="35"/>
      <c r="M9" s="35"/>
      <c r="N9" s="35"/>
      <c r="O9" s="35"/>
      <c r="P9" s="35"/>
      <c r="Q9" s="35"/>
      <c r="R9" s="35"/>
      <c r="S9" s="35"/>
      <c r="T9" s="35"/>
    </row>
    <row r="10" spans="1:20" s="6" customFormat="1" ht="21" customHeight="1">
      <c r="A10" s="58" t="s">
        <v>5</v>
      </c>
      <c r="B10" s="59" t="s">
        <v>3</v>
      </c>
      <c r="C10" s="60">
        <v>29773</v>
      </c>
      <c r="D10" s="157">
        <f t="shared" si="0"/>
        <v>0.48861062789247384</v>
      </c>
      <c r="M10" s="35"/>
      <c r="N10" s="35"/>
      <c r="O10" s="35"/>
      <c r="P10" s="35"/>
      <c r="Q10" s="35"/>
      <c r="R10" s="35"/>
      <c r="S10" s="35"/>
      <c r="T10" s="35"/>
    </row>
    <row r="11" spans="1:20" s="6" customFormat="1" ht="21" customHeight="1">
      <c r="A11" s="252" t="s">
        <v>120</v>
      </c>
      <c r="B11" s="59" t="s">
        <v>3</v>
      </c>
      <c r="C11" s="277">
        <v>5858</v>
      </c>
      <c r="D11" s="157">
        <f t="shared" si="0"/>
        <v>0.09613680375488233</v>
      </c>
      <c r="M11" s="35"/>
      <c r="N11" s="35"/>
      <c r="O11" s="35"/>
      <c r="P11" s="35"/>
      <c r="Q11" s="35"/>
      <c r="R11" s="35"/>
      <c r="S11" s="35"/>
      <c r="T11" s="35"/>
    </row>
    <row r="12" spans="1:15" ht="21" customHeight="1">
      <c r="A12" s="99" t="s">
        <v>65</v>
      </c>
      <c r="B12" s="100" t="s">
        <v>3</v>
      </c>
      <c r="C12" s="101">
        <v>5372</v>
      </c>
      <c r="D12" s="157">
        <f t="shared" si="0"/>
        <v>0.08816096103981357</v>
      </c>
      <c r="L12" s="28"/>
      <c r="O12" s="50"/>
    </row>
    <row r="13" spans="1:15" ht="21" customHeight="1" thickBot="1">
      <c r="A13" s="58" t="s">
        <v>66</v>
      </c>
      <c r="B13" s="59" t="s">
        <v>3</v>
      </c>
      <c r="C13" s="102">
        <v>652</v>
      </c>
      <c r="D13" s="158">
        <f t="shared" si="0"/>
        <v>0.010700101749433814</v>
      </c>
      <c r="I13" s="26"/>
      <c r="O13" s="50"/>
    </row>
    <row r="14" spans="1:15" ht="12" customHeight="1" hidden="1">
      <c r="A14" s="8" t="s">
        <v>7</v>
      </c>
      <c r="B14" s="4" t="s">
        <v>3</v>
      </c>
      <c r="C14" s="7">
        <v>663</v>
      </c>
      <c r="I14" s="39"/>
      <c r="N14" s="39"/>
      <c r="O14" s="279"/>
    </row>
    <row r="15" spans="1:15" ht="15.75" customHeight="1" thickBot="1">
      <c r="A15" s="65"/>
      <c r="B15" s="66"/>
      <c r="C15" s="67"/>
      <c r="F15" s="61"/>
      <c r="G15" s="61"/>
      <c r="H15" s="61"/>
      <c r="I15" s="56"/>
      <c r="O15" s="50"/>
    </row>
    <row r="16" spans="1:9" ht="100.5" customHeight="1" thickBot="1">
      <c r="A16" s="63" t="s">
        <v>0</v>
      </c>
      <c r="B16" s="64" t="s">
        <v>1</v>
      </c>
      <c r="C16" s="75" t="s">
        <v>24</v>
      </c>
      <c r="D16" s="75" t="s">
        <v>25</v>
      </c>
      <c r="E16" s="83" t="s">
        <v>41</v>
      </c>
      <c r="F16" s="75" t="s">
        <v>22</v>
      </c>
      <c r="G16" s="68" t="s">
        <v>38</v>
      </c>
      <c r="H16" s="68" t="s">
        <v>39</v>
      </c>
      <c r="I16" s="75" t="s">
        <v>23</v>
      </c>
    </row>
    <row r="17" spans="1:12" ht="16.5" customHeight="1" thickBot="1">
      <c r="A17" s="70">
        <v>1</v>
      </c>
      <c r="B17" s="69">
        <v>2</v>
      </c>
      <c r="C17" s="68">
        <v>3</v>
      </c>
      <c r="D17" s="68">
        <v>4</v>
      </c>
      <c r="E17" s="68">
        <v>5</v>
      </c>
      <c r="F17" s="68">
        <v>6</v>
      </c>
      <c r="G17" s="68">
        <v>7</v>
      </c>
      <c r="H17" s="68">
        <v>8</v>
      </c>
      <c r="I17" s="68">
        <v>9</v>
      </c>
      <c r="J17" s="597" t="s">
        <v>121</v>
      </c>
      <c r="L17" s="591" t="s">
        <v>123</v>
      </c>
    </row>
    <row r="18" spans="1:20" s="108" customFormat="1" ht="19.5" customHeight="1">
      <c r="A18" s="105" t="s">
        <v>33</v>
      </c>
      <c r="B18" s="96" t="s">
        <v>9</v>
      </c>
      <c r="C18" s="260">
        <f aca="true" t="shared" si="1" ref="C18:I18">SUM(C19:C24)</f>
        <v>230835</v>
      </c>
      <c r="D18" s="260">
        <f t="shared" si="1"/>
        <v>85373</v>
      </c>
      <c r="E18" s="260">
        <f t="shared" si="1"/>
        <v>14351</v>
      </c>
      <c r="F18" s="260">
        <f t="shared" si="1"/>
        <v>60113</v>
      </c>
      <c r="G18" s="260">
        <f t="shared" si="1"/>
        <v>51325</v>
      </c>
      <c r="H18" s="260">
        <f t="shared" si="1"/>
        <v>19673</v>
      </c>
      <c r="I18" s="106">
        <f t="shared" si="1"/>
        <v>26500</v>
      </c>
      <c r="J18" s="597"/>
      <c r="K18" s="282">
        <v>-26500</v>
      </c>
      <c r="L18" s="591"/>
      <c r="M18" s="109"/>
      <c r="N18" s="257"/>
      <c r="O18" s="110"/>
      <c r="P18" s="111"/>
      <c r="Q18" s="111"/>
      <c r="R18" s="111"/>
      <c r="S18" s="111"/>
      <c r="T18" s="111"/>
    </row>
    <row r="19" spans="1:20" s="114" customFormat="1" ht="21" customHeight="1">
      <c r="A19" s="58" t="s">
        <v>4</v>
      </c>
      <c r="B19" s="59" t="s">
        <v>9</v>
      </c>
      <c r="C19" s="112">
        <f>SUM(D19:H19)</f>
        <v>58823</v>
      </c>
      <c r="D19" s="112">
        <f>26000-124</f>
        <v>25876</v>
      </c>
      <c r="E19" s="112">
        <v>3482</v>
      </c>
      <c r="F19" s="112">
        <v>14588</v>
      </c>
      <c r="G19" s="112">
        <f>5403+1522+500</f>
        <v>7425</v>
      </c>
      <c r="H19" s="112">
        <v>7452</v>
      </c>
      <c r="I19" s="112">
        <f>11247-900</f>
        <v>10347</v>
      </c>
      <c r="J19" s="107">
        <f>C19+I19-L19</f>
        <v>-13569</v>
      </c>
      <c r="L19" s="107">
        <f>82739</f>
        <v>82739</v>
      </c>
      <c r="M19" s="109">
        <f>L19-C19</f>
        <v>23916</v>
      </c>
      <c r="N19" s="258">
        <f>M19/M22</f>
        <v>0.4244037478705281</v>
      </c>
      <c r="O19" s="79">
        <f>K18*N19</f>
        <v>-11246.699318568995</v>
      </c>
      <c r="P19" s="113"/>
      <c r="Q19" s="115"/>
      <c r="R19" s="113"/>
      <c r="S19" s="113"/>
      <c r="T19" s="113"/>
    </row>
    <row r="20" spans="1:20" s="114" customFormat="1" ht="21" customHeight="1">
      <c r="A20" s="58" t="s">
        <v>10</v>
      </c>
      <c r="B20" s="59" t="s">
        <v>9</v>
      </c>
      <c r="C20" s="112">
        <f>SUM(D20:H20)</f>
        <v>53282</v>
      </c>
      <c r="D20" s="112">
        <f>8621-41</f>
        <v>8580</v>
      </c>
      <c r="E20" s="112">
        <v>1058</v>
      </c>
      <c r="F20" s="112">
        <v>4431</v>
      </c>
      <c r="G20" s="112">
        <f>28445+5889+1000</f>
        <v>35334</v>
      </c>
      <c r="H20" s="112">
        <v>3879</v>
      </c>
      <c r="I20" s="112">
        <v>10493</v>
      </c>
      <c r="J20" s="107">
        <f>C20+I20-L20</f>
        <v>-11821</v>
      </c>
      <c r="L20" s="107">
        <f>75596</f>
        <v>75596</v>
      </c>
      <c r="M20" s="109">
        <f>L20-C20</f>
        <v>22314</v>
      </c>
      <c r="N20" s="258">
        <f>M20/M22</f>
        <v>0.39597529812606475</v>
      </c>
      <c r="O20" s="79">
        <f>K18*N20</f>
        <v>-10493.345400340715</v>
      </c>
      <c r="P20" s="113"/>
      <c r="Q20" s="115"/>
      <c r="R20" s="113"/>
      <c r="S20" s="113"/>
      <c r="T20" s="113"/>
    </row>
    <row r="21" spans="1:20" s="114" customFormat="1" ht="21" customHeight="1">
      <c r="A21" s="58" t="s">
        <v>5</v>
      </c>
      <c r="B21" s="59" t="s">
        <v>9</v>
      </c>
      <c r="C21" s="112">
        <f>SUM(D21:H21)</f>
        <v>83364</v>
      </c>
      <c r="D21" s="112">
        <f>30214-142</f>
        <v>30072</v>
      </c>
      <c r="E21" s="112">
        <v>7012</v>
      </c>
      <c r="F21" s="112">
        <v>29372</v>
      </c>
      <c r="G21" s="112">
        <f>5448+1218+1900</f>
        <v>8566</v>
      </c>
      <c r="H21" s="112">
        <v>8342</v>
      </c>
      <c r="I21" s="112">
        <f>4760+900</f>
        <v>5660</v>
      </c>
      <c r="J21" s="107">
        <f>C21+I21-L21</f>
        <v>-4462</v>
      </c>
      <c r="L21" s="107">
        <f>93486</f>
        <v>93486</v>
      </c>
      <c r="M21" s="109">
        <f>L21-C21</f>
        <v>10122</v>
      </c>
      <c r="N21" s="258">
        <f>M21/M22</f>
        <v>0.17962095400340716</v>
      </c>
      <c r="O21" s="79">
        <f>K18*N21</f>
        <v>-4759.95528109029</v>
      </c>
      <c r="P21" s="115"/>
      <c r="Q21" s="115"/>
      <c r="R21" s="113"/>
      <c r="S21" s="113"/>
      <c r="T21" s="113"/>
    </row>
    <row r="22" spans="1:20" s="108" customFormat="1" ht="16.5" customHeight="1">
      <c r="A22" s="252" t="s">
        <v>120</v>
      </c>
      <c r="B22" s="59" t="s">
        <v>9</v>
      </c>
      <c r="C22" s="120">
        <f>ROUND(C11*3,0)</f>
        <v>17574</v>
      </c>
      <c r="D22" s="112">
        <v>10415</v>
      </c>
      <c r="E22" s="112">
        <v>1380</v>
      </c>
      <c r="F22" s="112">
        <v>5779</v>
      </c>
      <c r="G22" s="112"/>
      <c r="H22" s="112"/>
      <c r="I22" s="112"/>
      <c r="J22" s="107"/>
      <c r="K22" s="107"/>
      <c r="L22" s="107"/>
      <c r="M22" s="109">
        <f>SUM(M19:M21)</f>
        <v>56352</v>
      </c>
      <c r="N22" s="259"/>
      <c r="O22" s="118"/>
      <c r="P22" s="109"/>
      <c r="Q22" s="111"/>
      <c r="R22" s="111"/>
      <c r="S22" s="111"/>
      <c r="T22" s="111"/>
    </row>
    <row r="23" spans="1:20" s="108" customFormat="1" ht="21" customHeight="1">
      <c r="A23" s="119" t="s">
        <v>65</v>
      </c>
      <c r="B23" s="59" t="s">
        <v>9</v>
      </c>
      <c r="C23" s="120">
        <f>ROUND(C12*3,0)</f>
        <v>16116</v>
      </c>
      <c r="D23" s="112">
        <v>9551</v>
      </c>
      <c r="E23" s="120">
        <v>1265</v>
      </c>
      <c r="F23" s="120">
        <v>5300</v>
      </c>
      <c r="G23" s="120"/>
      <c r="H23" s="120"/>
      <c r="I23" s="60"/>
      <c r="J23" s="107"/>
      <c r="K23" s="107"/>
      <c r="L23" s="163"/>
      <c r="M23" s="107"/>
      <c r="N23" s="258"/>
      <c r="O23" s="107"/>
      <c r="P23" s="111"/>
      <c r="Q23" s="111"/>
      <c r="R23" s="111"/>
      <c r="S23" s="111"/>
      <c r="T23" s="111"/>
    </row>
    <row r="24" spans="1:20" s="108" customFormat="1" ht="21" customHeight="1" thickBot="1">
      <c r="A24" s="121" t="s">
        <v>66</v>
      </c>
      <c r="B24" s="122" t="s">
        <v>9</v>
      </c>
      <c r="C24" s="123">
        <f>ROUND(C13*2.57,0)</f>
        <v>1676</v>
      </c>
      <c r="D24" s="124">
        <v>879</v>
      </c>
      <c r="E24" s="123">
        <v>154</v>
      </c>
      <c r="F24" s="123">
        <v>643</v>
      </c>
      <c r="G24" s="123"/>
      <c r="H24" s="123"/>
      <c r="I24" s="125"/>
      <c r="J24" s="107"/>
      <c r="K24" s="107"/>
      <c r="L24" s="107"/>
      <c r="M24" s="126"/>
      <c r="N24" s="126"/>
      <c r="O24" s="126"/>
      <c r="P24" s="109"/>
      <c r="Q24" s="111"/>
      <c r="R24" s="111"/>
      <c r="S24" s="111"/>
      <c r="T24" s="111"/>
    </row>
    <row r="25" spans="1:12" ht="14.25" customHeight="1" thickBot="1">
      <c r="A25" s="103"/>
      <c r="B25" s="23"/>
      <c r="C25" s="261"/>
      <c r="D25" s="168"/>
      <c r="E25" s="168"/>
      <c r="F25" s="262"/>
      <c r="G25" s="168"/>
      <c r="H25" s="168"/>
      <c r="I25" s="26"/>
      <c r="J25" s="6"/>
      <c r="K25" s="27"/>
      <c r="L25" s="6"/>
    </row>
    <row r="26" spans="1:12" ht="44.25" customHeight="1">
      <c r="A26" s="583" t="s">
        <v>0</v>
      </c>
      <c r="B26" s="585" t="s">
        <v>1</v>
      </c>
      <c r="C26" s="593" t="s">
        <v>45</v>
      </c>
      <c r="D26" s="593" t="s">
        <v>67</v>
      </c>
      <c r="E26" s="593" t="s">
        <v>26</v>
      </c>
      <c r="F26" s="593" t="s">
        <v>40</v>
      </c>
      <c r="G26" s="593" t="s">
        <v>27</v>
      </c>
      <c r="H26" s="593" t="s">
        <v>28</v>
      </c>
      <c r="I26" s="574" t="s">
        <v>37</v>
      </c>
      <c r="J26" s="576" t="s">
        <v>29</v>
      </c>
      <c r="K26" s="6"/>
      <c r="L26" s="6"/>
    </row>
    <row r="27" spans="1:12" ht="87.75" customHeight="1" thickBot="1">
      <c r="A27" s="584"/>
      <c r="B27" s="586"/>
      <c r="C27" s="594"/>
      <c r="D27" s="594"/>
      <c r="E27" s="594"/>
      <c r="F27" s="594"/>
      <c r="G27" s="594"/>
      <c r="H27" s="594"/>
      <c r="I27" s="575"/>
      <c r="J27" s="577"/>
      <c r="K27" s="6"/>
      <c r="L27" s="6"/>
    </row>
    <row r="28" spans="1:10" ht="16.5" customHeight="1" thickBot="1">
      <c r="A28" s="74">
        <v>1</v>
      </c>
      <c r="B28" s="64">
        <v>2</v>
      </c>
      <c r="C28" s="263">
        <v>3</v>
      </c>
      <c r="D28" s="263">
        <v>4</v>
      </c>
      <c r="E28" s="263">
        <v>5</v>
      </c>
      <c r="F28" s="263">
        <v>6</v>
      </c>
      <c r="G28" s="263">
        <v>7</v>
      </c>
      <c r="H28" s="263">
        <v>8</v>
      </c>
      <c r="I28" s="75">
        <v>9</v>
      </c>
      <c r="J28" s="75">
        <v>9</v>
      </c>
    </row>
    <row r="29" spans="1:12" ht="16.5" customHeight="1">
      <c r="A29" s="11" t="s">
        <v>34</v>
      </c>
      <c r="B29" s="76"/>
      <c r="C29" s="264"/>
      <c r="D29" s="264"/>
      <c r="E29" s="264"/>
      <c r="F29" s="264"/>
      <c r="G29" s="264"/>
      <c r="H29" s="264"/>
      <c r="I29" s="77"/>
      <c r="J29" s="77"/>
      <c r="L29" s="164"/>
    </row>
    <row r="30" spans="1:20" s="6" customFormat="1" ht="12" customHeight="1">
      <c r="A30" s="30" t="s">
        <v>35</v>
      </c>
      <c r="B30" s="31" t="s">
        <v>11</v>
      </c>
      <c r="C30" s="253">
        <f>D30+J30</f>
        <v>4.679736254818422</v>
      </c>
      <c r="D30" s="81">
        <f>E30+F30+G30+H30+I30</f>
        <v>3.98</v>
      </c>
      <c r="E30" s="276">
        <f aca="true" t="shared" si="2" ref="E30:E35">ROUND(D19/C8,2)</f>
        <v>1.75</v>
      </c>
      <c r="F30" s="81">
        <f aca="true" t="shared" si="3" ref="F30:F35">ROUND(E19/C8,2)</f>
        <v>0.24</v>
      </c>
      <c r="G30" s="81">
        <f aca="true" t="shared" si="4" ref="G30:G35">ROUND(F19/C8,2)</f>
        <v>0.99</v>
      </c>
      <c r="H30" s="81">
        <f>ROUND(G19/C8,2)</f>
        <v>0.5</v>
      </c>
      <c r="I30" s="81">
        <f>ROUND(H19/C8,2)</f>
        <v>0.5</v>
      </c>
      <c r="J30" s="81">
        <f>I19/C8</f>
        <v>0.6997362548184216</v>
      </c>
      <c r="K30" s="86"/>
      <c r="L30" s="86"/>
      <c r="M30" s="89"/>
      <c r="N30" s="90"/>
      <c r="O30" s="35"/>
      <c r="P30" s="35"/>
      <c r="Q30" s="88"/>
      <c r="R30" s="35"/>
      <c r="S30" s="35"/>
      <c r="T30" s="35"/>
    </row>
    <row r="31" spans="1:20" s="6" customFormat="1" ht="12" customHeight="1">
      <c r="A31" s="13" t="s">
        <v>36</v>
      </c>
      <c r="B31" s="4" t="s">
        <v>11</v>
      </c>
      <c r="C31" s="253">
        <f>D31+J31</f>
        <v>14.20593054318789</v>
      </c>
      <c r="D31" s="81">
        <f>E31+F31+G31+H31+I31</f>
        <v>11.87</v>
      </c>
      <c r="E31" s="276">
        <f t="shared" si="2"/>
        <v>1.91</v>
      </c>
      <c r="F31" s="81">
        <f t="shared" si="3"/>
        <v>0.24</v>
      </c>
      <c r="G31" s="81">
        <f t="shared" si="4"/>
        <v>0.99</v>
      </c>
      <c r="H31" s="81">
        <f>ROUND(G20/C9,2)</f>
        <v>7.87</v>
      </c>
      <c r="I31" s="81">
        <f>ROUND(H20/C9,2)</f>
        <v>0.86</v>
      </c>
      <c r="J31" s="81">
        <f>I20/C9</f>
        <v>2.3359305431878896</v>
      </c>
      <c r="K31" s="86"/>
      <c r="L31" s="27"/>
      <c r="M31" s="89"/>
      <c r="N31" s="35"/>
      <c r="O31" s="35"/>
      <c r="P31" s="35"/>
      <c r="Q31" s="90"/>
      <c r="R31" s="35"/>
      <c r="S31" s="35"/>
      <c r="T31" s="35"/>
    </row>
    <row r="32" spans="1:20" s="6" customFormat="1" ht="12" customHeight="1">
      <c r="A32" s="13" t="str">
        <f>A21</f>
        <v>"Столичен автотранспорт" ЕАД</v>
      </c>
      <c r="B32" s="4" t="s">
        <v>11</v>
      </c>
      <c r="C32" s="253">
        <f>D32+J32</f>
        <v>3.0001051288079807</v>
      </c>
      <c r="D32" s="81">
        <f>E32+F32+G32+H32+I32</f>
        <v>2.8100000000000005</v>
      </c>
      <c r="E32" s="276">
        <f t="shared" si="2"/>
        <v>1.01</v>
      </c>
      <c r="F32" s="81">
        <f t="shared" si="3"/>
        <v>0.24</v>
      </c>
      <c r="G32" s="81">
        <f t="shared" si="4"/>
        <v>0.99</v>
      </c>
      <c r="H32" s="81">
        <f>ROUND(G21/C10,2)</f>
        <v>0.29</v>
      </c>
      <c r="I32" s="81">
        <f>ROUND(H21/C10,2)</f>
        <v>0.28</v>
      </c>
      <c r="J32" s="81">
        <f>I21/C10</f>
        <v>0.1901051288079804</v>
      </c>
      <c r="K32" s="86"/>
      <c r="L32" s="27"/>
      <c r="M32" s="89"/>
      <c r="N32" s="35"/>
      <c r="O32" s="35"/>
      <c r="P32" s="35"/>
      <c r="Q32" s="90"/>
      <c r="R32" s="35"/>
      <c r="S32" s="35"/>
      <c r="T32" s="35"/>
    </row>
    <row r="33" spans="1:20" s="6" customFormat="1" ht="12" customHeight="1">
      <c r="A33" s="13" t="str">
        <f>A22</f>
        <v>"MTK Гроуп" ООД</v>
      </c>
      <c r="B33" s="4" t="s">
        <v>11</v>
      </c>
      <c r="C33" s="33">
        <v>3</v>
      </c>
      <c r="D33" s="81">
        <v>3</v>
      </c>
      <c r="E33" s="81">
        <f t="shared" si="2"/>
        <v>1.78</v>
      </c>
      <c r="F33" s="81">
        <f t="shared" si="3"/>
        <v>0.24</v>
      </c>
      <c r="G33" s="81">
        <f t="shared" si="4"/>
        <v>0.99</v>
      </c>
      <c r="H33" s="265"/>
      <c r="I33" s="14"/>
      <c r="J33" s="14"/>
      <c r="M33" s="89"/>
      <c r="N33" s="35"/>
      <c r="O33" s="35"/>
      <c r="P33" s="35"/>
      <c r="Q33" s="35"/>
      <c r="R33" s="35"/>
      <c r="S33" s="35"/>
      <c r="T33" s="35"/>
    </row>
    <row r="34" spans="1:13" ht="12" customHeight="1">
      <c r="A34" s="30" t="s">
        <v>65</v>
      </c>
      <c r="B34" s="31" t="s">
        <v>11</v>
      </c>
      <c r="C34" s="266" t="s">
        <v>95</v>
      </c>
      <c r="D34" s="266" t="s">
        <v>95</v>
      </c>
      <c r="E34" s="81">
        <f t="shared" si="2"/>
        <v>1.78</v>
      </c>
      <c r="F34" s="81">
        <f t="shared" si="3"/>
        <v>0.24</v>
      </c>
      <c r="G34" s="81">
        <f t="shared" si="4"/>
        <v>0.99</v>
      </c>
      <c r="H34" s="267"/>
      <c r="I34" s="32"/>
      <c r="J34" s="32"/>
      <c r="M34" s="89"/>
    </row>
    <row r="35" spans="1:13" ht="12" customHeight="1" thickBot="1">
      <c r="A35" s="127" t="s">
        <v>6</v>
      </c>
      <c r="B35" s="10" t="s">
        <v>11</v>
      </c>
      <c r="C35" s="268">
        <v>2.57</v>
      </c>
      <c r="D35" s="82">
        <v>2.57</v>
      </c>
      <c r="E35" s="82">
        <f t="shared" si="2"/>
        <v>1.35</v>
      </c>
      <c r="F35" s="82">
        <f t="shared" si="3"/>
        <v>0.24</v>
      </c>
      <c r="G35" s="82">
        <f t="shared" si="4"/>
        <v>0.99</v>
      </c>
      <c r="H35" s="269"/>
      <c r="I35" s="34"/>
      <c r="J35" s="34"/>
      <c r="M35" s="89"/>
    </row>
    <row r="36" spans="1:8" ht="14.25" customHeight="1" thickBot="1">
      <c r="A36" s="15"/>
      <c r="B36" s="16"/>
      <c r="C36" s="270"/>
      <c r="D36" s="168"/>
      <c r="E36" s="168"/>
      <c r="F36" s="168"/>
      <c r="G36" s="168"/>
      <c r="H36" s="168"/>
    </row>
    <row r="37" spans="1:8" ht="19.5" customHeight="1">
      <c r="A37" s="17" t="s">
        <v>12</v>
      </c>
      <c r="B37" s="18" t="s">
        <v>9</v>
      </c>
      <c r="C37" s="271">
        <f>C38+C40+C43+C45</f>
        <v>230835</v>
      </c>
      <c r="D37" s="272"/>
      <c r="E37" s="168" t="s">
        <v>17</v>
      </c>
      <c r="F37" s="273"/>
      <c r="G37" s="168"/>
      <c r="H37" s="168"/>
    </row>
    <row r="38" spans="1:9" ht="16.5" customHeight="1">
      <c r="A38" s="58" t="s">
        <v>18</v>
      </c>
      <c r="B38" s="59" t="s">
        <v>9</v>
      </c>
      <c r="C38" s="120">
        <f>C39</f>
        <v>85373</v>
      </c>
      <c r="D38" s="274"/>
      <c r="E38" s="168"/>
      <c r="F38" s="168"/>
      <c r="G38" s="168"/>
      <c r="H38" s="168"/>
      <c r="I38" s="57"/>
    </row>
    <row r="39" spans="1:9" ht="12.75" customHeight="1">
      <c r="A39" s="8" t="s">
        <v>19</v>
      </c>
      <c r="B39" s="4" t="s">
        <v>9</v>
      </c>
      <c r="C39" s="275">
        <v>85373</v>
      </c>
      <c r="D39" s="183"/>
      <c r="E39" s="168"/>
      <c r="F39" s="168"/>
      <c r="G39" s="168"/>
      <c r="H39" s="168"/>
      <c r="I39" s="57"/>
    </row>
    <row r="40" spans="1:9" ht="12.75" customHeight="1">
      <c r="A40" s="3" t="s">
        <v>13</v>
      </c>
      <c r="B40" s="4" t="s">
        <v>9</v>
      </c>
      <c r="C40" s="280">
        <f>C41</f>
        <v>60113</v>
      </c>
      <c r="D40" s="261"/>
      <c r="E40" s="168"/>
      <c r="F40" s="168"/>
      <c r="G40" s="168"/>
      <c r="H40" s="168"/>
      <c r="I40" s="57"/>
    </row>
    <row r="41" spans="1:9" ht="12" customHeight="1">
      <c r="A41" s="9" t="s">
        <v>31</v>
      </c>
      <c r="B41" s="4" t="s">
        <v>9</v>
      </c>
      <c r="C41" s="281">
        <v>60113</v>
      </c>
      <c r="D41" s="80"/>
      <c r="I41" s="57"/>
    </row>
    <row r="42" spans="1:9" ht="12" customHeight="1" hidden="1">
      <c r="A42" s="9" t="s">
        <v>14</v>
      </c>
      <c r="B42" s="4" t="s">
        <v>9</v>
      </c>
      <c r="C42" s="19"/>
      <c r="D42" s="80"/>
      <c r="I42" s="57"/>
    </row>
    <row r="43" spans="1:9" ht="13.5" customHeight="1">
      <c r="A43" s="3" t="s">
        <v>15</v>
      </c>
      <c r="B43" s="4" t="s">
        <v>9</v>
      </c>
      <c r="C43" s="5">
        <f>C44</f>
        <v>14351</v>
      </c>
      <c r="D43" s="25"/>
      <c r="I43" s="57"/>
    </row>
    <row r="44" spans="1:9" ht="12" customHeight="1">
      <c r="A44" s="8" t="s">
        <v>42</v>
      </c>
      <c r="B44" s="4" t="s">
        <v>9</v>
      </c>
      <c r="C44" s="12">
        <v>14351</v>
      </c>
      <c r="D44" s="24"/>
      <c r="F44" s="254"/>
      <c r="I44" s="57"/>
    </row>
    <row r="45" spans="1:9" ht="15" customHeight="1">
      <c r="A45" s="3" t="s">
        <v>16</v>
      </c>
      <c r="B45" s="4" t="s">
        <v>9</v>
      </c>
      <c r="C45" s="5">
        <f>C46+C47+C48</f>
        <v>70998</v>
      </c>
      <c r="D45" s="25"/>
      <c r="H45" s="254"/>
      <c r="I45" s="57"/>
    </row>
    <row r="46" spans="1:20" s="6" customFormat="1" ht="12" customHeight="1">
      <c r="A46" s="20" t="s">
        <v>4</v>
      </c>
      <c r="B46" s="4" t="s">
        <v>9</v>
      </c>
      <c r="C46" s="12">
        <f>+G19+H19</f>
        <v>14877</v>
      </c>
      <c r="D46" s="24"/>
      <c r="F46" s="37"/>
      <c r="M46" s="35"/>
      <c r="N46" s="35"/>
      <c r="O46" s="35"/>
      <c r="P46" s="35"/>
      <c r="Q46" s="35"/>
      <c r="R46" s="35"/>
      <c r="S46" s="35"/>
      <c r="T46" s="35"/>
    </row>
    <row r="47" spans="1:20" s="6" customFormat="1" ht="12" customHeight="1">
      <c r="A47" s="20" t="s">
        <v>5</v>
      </c>
      <c r="B47" s="4" t="s">
        <v>9</v>
      </c>
      <c r="C47" s="12">
        <f>+G21+H21</f>
        <v>16908</v>
      </c>
      <c r="D47" s="24"/>
      <c r="F47" s="255"/>
      <c r="M47" s="35"/>
      <c r="N47" s="35"/>
      <c r="O47" s="35"/>
      <c r="P47" s="35"/>
      <c r="Q47" s="35"/>
      <c r="R47" s="35"/>
      <c r="S47" s="35"/>
      <c r="T47" s="35"/>
    </row>
    <row r="48" spans="1:20" s="6" customFormat="1" ht="12" customHeight="1" thickBot="1">
      <c r="A48" s="21" t="s">
        <v>10</v>
      </c>
      <c r="B48" s="10" t="s">
        <v>9</v>
      </c>
      <c r="C48" s="40">
        <f>+G20+H20</f>
        <v>39213</v>
      </c>
      <c r="D48" s="24"/>
      <c r="G48" s="38"/>
      <c r="H48" s="256"/>
      <c r="M48" s="35"/>
      <c r="N48" s="35"/>
      <c r="O48" s="35"/>
      <c r="P48" s="35"/>
      <c r="Q48" s="35"/>
      <c r="R48" s="35"/>
      <c r="S48" s="35"/>
      <c r="T48" s="35"/>
    </row>
    <row r="49" spans="1:20" s="6" customFormat="1" ht="12" customHeight="1" thickBot="1">
      <c r="A49" s="16"/>
      <c r="B49" s="23"/>
      <c r="C49" s="24"/>
      <c r="D49" s="24"/>
      <c r="G49" s="38"/>
      <c r="H49" s="256"/>
      <c r="M49" s="35"/>
      <c r="N49" s="35"/>
      <c r="O49" s="35"/>
      <c r="P49" s="35"/>
      <c r="Q49" s="35"/>
      <c r="R49" s="35"/>
      <c r="S49" s="35"/>
      <c r="T49" s="35"/>
    </row>
    <row r="50" spans="1:20" s="6" customFormat="1" ht="27.75" customHeight="1">
      <c r="A50" s="283" t="s">
        <v>124</v>
      </c>
      <c r="B50" s="284"/>
      <c r="C50" s="285"/>
      <c r="D50" s="24"/>
      <c r="G50" s="38"/>
      <c r="H50" s="256"/>
      <c r="M50" s="35"/>
      <c r="N50" s="35"/>
      <c r="O50" s="35"/>
      <c r="P50" s="35"/>
      <c r="Q50" s="35"/>
      <c r="R50" s="35"/>
      <c r="S50" s="35"/>
      <c r="T50" s="35"/>
    </row>
    <row r="51" spans="1:20" s="6" customFormat="1" ht="28.5" customHeight="1">
      <c r="A51" s="286" t="s">
        <v>55</v>
      </c>
      <c r="B51" s="287" t="s">
        <v>9</v>
      </c>
      <c r="C51" s="288">
        <f>54056-C52-C53</f>
        <v>36056</v>
      </c>
      <c r="D51" s="294">
        <f>SUM(C51:C53)</f>
        <v>54056</v>
      </c>
      <c r="E51" s="295"/>
      <c r="G51" s="38"/>
      <c r="H51" s="256"/>
      <c r="M51" s="35"/>
      <c r="N51" s="35"/>
      <c r="O51" s="35"/>
      <c r="P51" s="35"/>
      <c r="Q51" s="35"/>
      <c r="R51" s="35"/>
      <c r="S51" s="35"/>
      <c r="T51" s="35"/>
    </row>
    <row r="52" spans="1:20" s="6" customFormat="1" ht="28.5" customHeight="1">
      <c r="A52" s="286" t="s">
        <v>56</v>
      </c>
      <c r="B52" s="59" t="s">
        <v>9</v>
      </c>
      <c r="C52" s="85">
        <v>13000</v>
      </c>
      <c r="D52" s="294"/>
      <c r="E52" s="295"/>
      <c r="G52" s="38"/>
      <c r="H52" s="256"/>
      <c r="M52" s="35"/>
      <c r="N52" s="35"/>
      <c r="O52" s="35"/>
      <c r="P52" s="35"/>
      <c r="Q52" s="35"/>
      <c r="R52" s="35"/>
      <c r="S52" s="35"/>
      <c r="T52" s="35"/>
    </row>
    <row r="53" spans="1:20" s="6" customFormat="1" ht="15">
      <c r="A53" s="286" t="s">
        <v>126</v>
      </c>
      <c r="B53" s="59" t="s">
        <v>9</v>
      </c>
      <c r="C53" s="85">
        <f>5000</f>
        <v>5000</v>
      </c>
      <c r="D53" s="294"/>
      <c r="E53" s="295"/>
      <c r="G53" s="38"/>
      <c r="H53" s="256"/>
      <c r="M53" s="35"/>
      <c r="N53" s="35"/>
      <c r="O53" s="35"/>
      <c r="P53" s="35"/>
      <c r="Q53" s="35"/>
      <c r="R53" s="35"/>
      <c r="S53" s="35"/>
      <c r="T53" s="35"/>
    </row>
    <row r="54" spans="1:20" s="6" customFormat="1" ht="28.5" customHeight="1">
      <c r="A54" s="289" t="s">
        <v>133</v>
      </c>
      <c r="B54" s="59" t="s">
        <v>9</v>
      </c>
      <c r="C54" s="290">
        <f>11717+8221</f>
        <v>19938</v>
      </c>
      <c r="D54" s="294"/>
      <c r="E54" s="296">
        <f>D56-D51</f>
        <v>2914</v>
      </c>
      <c r="G54" s="38"/>
      <c r="H54" s="256"/>
      <c r="M54" s="35"/>
      <c r="N54" s="35"/>
      <c r="O54" s="35"/>
      <c r="P54" s="35"/>
      <c r="Q54" s="35"/>
      <c r="R54" s="35"/>
      <c r="S54" s="35"/>
      <c r="T54" s="35"/>
    </row>
    <row r="55" spans="1:20" s="6" customFormat="1" ht="28.5" customHeight="1">
      <c r="A55" s="289" t="s">
        <v>44</v>
      </c>
      <c r="B55" s="59" t="s">
        <v>9</v>
      </c>
      <c r="C55" s="290">
        <v>2200</v>
      </c>
      <c r="D55" s="294"/>
      <c r="E55" s="295"/>
      <c r="G55" s="38"/>
      <c r="H55" s="256"/>
      <c r="M55" s="35"/>
      <c r="N55" s="35"/>
      <c r="O55" s="35"/>
      <c r="P55" s="35"/>
      <c r="Q55" s="35"/>
      <c r="R55" s="35"/>
      <c r="S55" s="35"/>
      <c r="T55" s="35"/>
    </row>
    <row r="56" spans="1:20" s="6" customFormat="1" ht="28.5" customHeight="1" thickBot="1">
      <c r="A56" s="291" t="s">
        <v>53</v>
      </c>
      <c r="B56" s="292"/>
      <c r="C56" s="140">
        <f>34832</f>
        <v>34832</v>
      </c>
      <c r="D56" s="294">
        <f>SUM(C54:C56)</f>
        <v>56970</v>
      </c>
      <c r="E56" s="295"/>
      <c r="G56" s="38"/>
      <c r="H56" s="256"/>
      <c r="M56" s="35"/>
      <c r="N56" s="35"/>
      <c r="O56" s="35"/>
      <c r="P56" s="35"/>
      <c r="Q56" s="35"/>
      <c r="R56" s="35"/>
      <c r="S56" s="35"/>
      <c r="T56" s="35"/>
    </row>
    <row r="57" spans="1:20" s="6" customFormat="1" ht="12" customHeight="1" thickBot="1">
      <c r="A57" s="16"/>
      <c r="B57" s="23"/>
      <c r="C57" s="24"/>
      <c r="D57" s="24"/>
      <c r="G57" s="38"/>
      <c r="H57" s="256"/>
      <c r="M57" s="35"/>
      <c r="N57" s="35"/>
      <c r="O57" s="35"/>
      <c r="P57" s="35"/>
      <c r="Q57" s="35"/>
      <c r="R57" s="35"/>
      <c r="S57" s="35"/>
      <c r="T57" s="35"/>
    </row>
    <row r="58" spans="1:20" s="168" customFormat="1" ht="21.75" customHeight="1" thickBot="1">
      <c r="A58" s="196" t="s">
        <v>127</v>
      </c>
      <c r="B58" s="198" t="s">
        <v>9</v>
      </c>
      <c r="C58" s="197">
        <f>C18-C37</f>
        <v>0</v>
      </c>
      <c r="K58" s="169"/>
      <c r="M58" s="170"/>
      <c r="N58" s="170"/>
      <c r="O58" s="170"/>
      <c r="P58" s="170"/>
      <c r="Q58" s="170"/>
      <c r="R58" s="170"/>
      <c r="S58" s="170"/>
      <c r="T58" s="170"/>
    </row>
    <row r="59" spans="1:4" s="170" customFormat="1" ht="11.25" customHeight="1">
      <c r="A59" s="181"/>
      <c r="B59" s="182"/>
      <c r="C59" s="183"/>
      <c r="D59" s="183"/>
    </row>
    <row r="60" spans="1:4" s="170" customFormat="1" ht="11.25" customHeight="1">
      <c r="A60" s="181"/>
      <c r="B60" s="182"/>
      <c r="C60" s="183"/>
      <c r="D60" s="183"/>
    </row>
    <row r="61" spans="1:208"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 s="168" customFormat="1" ht="38.25" customHeight="1" thickBot="1">
      <c r="A62" s="184" t="s">
        <v>128</v>
      </c>
      <c r="B62" s="185" t="s">
        <v>9</v>
      </c>
      <c r="C62" s="186">
        <f>C63+C64</f>
        <v>26500</v>
      </c>
      <c r="E62" s="187" t="s">
        <v>50</v>
      </c>
      <c r="G62" s="188"/>
      <c r="H62" s="188"/>
      <c r="M62" s="170"/>
      <c r="N62" s="170"/>
      <c r="O62" s="170"/>
      <c r="P62" s="170"/>
      <c r="Q62" s="170"/>
      <c r="R62" s="170"/>
      <c r="S62" s="170"/>
      <c r="T62" s="170"/>
    </row>
    <row r="63" spans="1:208" s="170" customFormat="1" ht="14.25" customHeight="1">
      <c r="A63" s="189" t="s">
        <v>68</v>
      </c>
      <c r="B63" s="190" t="s">
        <v>9</v>
      </c>
      <c r="C63" s="191">
        <v>8500</v>
      </c>
      <c r="D63" s="44"/>
      <c r="E63" s="44"/>
      <c r="F63" s="44" t="s">
        <v>51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170" customFormat="1" ht="14.25" customHeight="1" thickBot="1">
      <c r="A64" s="192" t="s">
        <v>30</v>
      </c>
      <c r="B64" s="193" t="s">
        <v>9</v>
      </c>
      <c r="C64" s="194">
        <v>18000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6.5" customHeight="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66.75" customHeight="1">
      <c r="A67" s="596"/>
      <c r="B67" s="596"/>
      <c r="C67" s="596"/>
      <c r="D67" s="596"/>
      <c r="E67" s="596"/>
      <c r="F67" s="596"/>
      <c r="G67" s="596"/>
      <c r="H67" s="596"/>
      <c r="I67" s="596"/>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18" customHeight="1">
      <c r="A68" s="572"/>
      <c r="B68" s="57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3" s="26" customFormat="1" ht="12.75">
      <c r="A69" s="46"/>
      <c r="B69" s="45"/>
      <c r="C69" s="50"/>
    </row>
    <row r="70" spans="1:3" s="26" customFormat="1" ht="15">
      <c r="A70" s="43"/>
      <c r="B70" s="43"/>
      <c r="C70" s="50"/>
    </row>
    <row r="71" spans="1:3" s="26" customFormat="1" ht="15">
      <c r="A71" s="43"/>
      <c r="B71" s="44"/>
      <c r="C71" s="87"/>
    </row>
    <row r="72" spans="1:3" s="26" customFormat="1" ht="15">
      <c r="A72" s="48"/>
      <c r="B72" s="49"/>
      <c r="C72" s="149"/>
    </row>
    <row r="73" spans="1:3" s="26" customFormat="1" ht="15">
      <c r="A73" s="48"/>
      <c r="B73" s="49"/>
      <c r="C73" s="150"/>
    </row>
    <row r="74" spans="1:2" s="26" customFormat="1" ht="15">
      <c r="A74" s="43"/>
      <c r="B74" s="43"/>
    </row>
    <row r="75" spans="1:3" s="26" customFormat="1" ht="14.25">
      <c r="A75" s="573"/>
      <c r="B75" s="573"/>
      <c r="C75" s="87"/>
    </row>
    <row r="76" spans="1:3" s="26" customFormat="1" ht="12.75">
      <c r="A76" s="151"/>
      <c r="C76" s="152"/>
    </row>
    <row r="77" s="26" customFormat="1" ht="12.75"/>
    <row r="78" s="26" customFormat="1" ht="12.75"/>
  </sheetData>
  <sheetProtection/>
  <mergeCells count="20">
    <mergeCell ref="F26:F27"/>
    <mergeCell ref="G26:G27"/>
    <mergeCell ref="H26:H27"/>
    <mergeCell ref="I26:I27"/>
    <mergeCell ref="A1:D1"/>
    <mergeCell ref="G1:J5"/>
    <mergeCell ref="A2:D2"/>
    <mergeCell ref="A4:D4"/>
    <mergeCell ref="C6:D6"/>
    <mergeCell ref="J17:J18"/>
    <mergeCell ref="J26:J27"/>
    <mergeCell ref="A67:I67"/>
    <mergeCell ref="A68:B68"/>
    <mergeCell ref="A75:B75"/>
    <mergeCell ref="L17:L18"/>
    <mergeCell ref="A26:A27"/>
    <mergeCell ref="B26:B27"/>
    <mergeCell ref="C26:C27"/>
    <mergeCell ref="D26:D27"/>
    <mergeCell ref="E26:E27"/>
  </mergeCells>
  <printOptions/>
  <pageMargins left="0" right="0" top="0.7480314960629921" bottom="0.7480314960629921" header="0.31496062992125984" footer="0.31496062992125984"/>
  <pageSetup fitToHeight="1" fitToWidth="1" horizontalDpi="600" verticalDpi="600" orientation="portrait" paperSize="9" scale="45" r:id="rId1"/>
</worksheet>
</file>

<file path=xl/worksheets/sheet12.xml><?xml version="1.0" encoding="utf-8"?>
<worksheet xmlns="http://schemas.openxmlformats.org/spreadsheetml/2006/main" xmlns:r="http://schemas.openxmlformats.org/officeDocument/2006/relationships">
  <sheetPr>
    <pageSetUpPr fitToPage="1"/>
  </sheetPr>
  <dimension ref="A1:GZ76"/>
  <sheetViews>
    <sheetView zoomScalePageLayoutView="0" workbookViewId="0" topLeftCell="A1">
      <selection activeCell="C8" sqref="C8"/>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hidden="1" customWidth="1"/>
    <col min="12" max="12" width="11.421875" style="0" bestFit="1" customWidth="1"/>
    <col min="13" max="13" width="12.140625" style="26" customWidth="1"/>
    <col min="14" max="14" width="9.8515625" style="26" customWidth="1"/>
    <col min="15" max="15" width="11.140625" style="26" customWidth="1"/>
    <col min="16" max="20" width="9.140625" style="26" customWidth="1"/>
  </cols>
  <sheetData>
    <row r="1" spans="1:12" ht="23.25" customHeight="1">
      <c r="A1" s="606" t="s">
        <v>20</v>
      </c>
      <c r="B1" s="606"/>
      <c r="C1" s="606"/>
      <c r="D1" s="606"/>
      <c r="E1" s="168"/>
      <c r="F1" s="168"/>
      <c r="G1" s="607"/>
      <c r="H1" s="607"/>
      <c r="I1" s="607"/>
      <c r="J1" s="607"/>
      <c r="K1" s="168"/>
      <c r="L1" s="168"/>
    </row>
    <row r="2" spans="1:12" ht="12.75" customHeight="1">
      <c r="A2" s="608" t="s">
        <v>118</v>
      </c>
      <c r="B2" s="608"/>
      <c r="C2" s="608"/>
      <c r="D2" s="608"/>
      <c r="E2" s="168"/>
      <c r="F2" s="168"/>
      <c r="G2" s="607"/>
      <c r="H2" s="607"/>
      <c r="I2" s="607"/>
      <c r="J2" s="607"/>
      <c r="K2" s="168"/>
      <c r="L2" s="168"/>
    </row>
    <row r="3" spans="1:12" ht="12.75" customHeight="1">
      <c r="A3" s="298"/>
      <c r="B3" s="298"/>
      <c r="C3" s="298"/>
      <c r="D3" s="298"/>
      <c r="E3" s="168"/>
      <c r="F3" s="168"/>
      <c r="G3" s="607"/>
      <c r="H3" s="607"/>
      <c r="I3" s="607"/>
      <c r="J3" s="607"/>
      <c r="K3" s="168"/>
      <c r="L3" s="168"/>
    </row>
    <row r="4" spans="1:12" ht="12.75" customHeight="1">
      <c r="A4" s="609" t="s">
        <v>134</v>
      </c>
      <c r="B4" s="609"/>
      <c r="C4" s="609"/>
      <c r="D4" s="609"/>
      <c r="E4" s="168"/>
      <c r="F4" s="168"/>
      <c r="G4" s="607"/>
      <c r="H4" s="607"/>
      <c r="I4" s="607"/>
      <c r="J4" s="607"/>
      <c r="K4" s="168"/>
      <c r="L4" s="168"/>
    </row>
    <row r="5" spans="1:12" ht="13.5" customHeight="1" thickBot="1">
      <c r="A5" s="299"/>
      <c r="B5" s="299"/>
      <c r="C5" s="299"/>
      <c r="D5" s="299"/>
      <c r="E5" s="168"/>
      <c r="F5" s="168"/>
      <c r="G5" s="607"/>
      <c r="H5" s="607"/>
      <c r="I5" s="607"/>
      <c r="J5" s="607"/>
      <c r="K5" s="168"/>
      <c r="L5" s="168"/>
    </row>
    <row r="6" spans="1:12" ht="37.5" customHeight="1" thickBot="1">
      <c r="A6" s="300" t="s">
        <v>0</v>
      </c>
      <c r="B6" s="301" t="s">
        <v>1</v>
      </c>
      <c r="C6" s="610" t="s">
        <v>139</v>
      </c>
      <c r="D6" s="611"/>
      <c r="E6" s="168"/>
      <c r="F6" s="302"/>
      <c r="G6" s="168"/>
      <c r="H6" s="168"/>
      <c r="I6" s="168"/>
      <c r="J6" s="302"/>
      <c r="K6" s="302"/>
      <c r="L6" s="302"/>
    </row>
    <row r="7" spans="1:12" ht="19.5" customHeight="1">
      <c r="A7" s="303" t="s">
        <v>2</v>
      </c>
      <c r="B7" s="304" t="s">
        <v>3</v>
      </c>
      <c r="C7" s="305">
        <f>SUM(C8:C13)</f>
        <v>60934</v>
      </c>
      <c r="D7" s="306">
        <f>SUM(D8:D13)</f>
        <v>1</v>
      </c>
      <c r="E7" s="168"/>
      <c r="F7" s="168"/>
      <c r="G7" s="168"/>
      <c r="H7" s="168"/>
      <c r="I7" s="168"/>
      <c r="J7" s="168"/>
      <c r="K7" s="168"/>
      <c r="L7" s="168"/>
    </row>
    <row r="8" spans="1:20" s="6" customFormat="1" ht="21" customHeight="1">
      <c r="A8" s="307" t="s">
        <v>4</v>
      </c>
      <c r="B8" s="148" t="s">
        <v>3</v>
      </c>
      <c r="C8" s="120">
        <v>14787</v>
      </c>
      <c r="D8" s="308">
        <f aca="true" t="shared" si="0" ref="D8:D13">C8/$C$7</f>
        <v>0.2426723996455181</v>
      </c>
      <c r="E8" s="309"/>
      <c r="F8" s="310"/>
      <c r="G8" s="309"/>
      <c r="H8" s="309"/>
      <c r="I8" s="309"/>
      <c r="J8" s="310"/>
      <c r="K8" s="310"/>
      <c r="L8" s="310"/>
      <c r="M8" s="35"/>
      <c r="N8" s="35"/>
      <c r="O8" s="35"/>
      <c r="P8" s="35"/>
      <c r="Q8" s="35"/>
      <c r="R8" s="35"/>
      <c r="S8" s="35"/>
      <c r="T8" s="35"/>
    </row>
    <row r="9" spans="1:20" s="6" customFormat="1" ht="21" customHeight="1">
      <c r="A9" s="307" t="s">
        <v>8</v>
      </c>
      <c r="B9" s="148" t="s">
        <v>3</v>
      </c>
      <c r="C9" s="120">
        <v>4492</v>
      </c>
      <c r="D9" s="308">
        <f t="shared" si="0"/>
        <v>0.07371910591787836</v>
      </c>
      <c r="E9" s="311"/>
      <c r="F9" s="309"/>
      <c r="G9" s="309"/>
      <c r="H9" s="309"/>
      <c r="I9" s="309"/>
      <c r="J9" s="309"/>
      <c r="K9" s="309"/>
      <c r="L9" s="309"/>
      <c r="M9" s="35"/>
      <c r="N9" s="35"/>
      <c r="O9" s="35"/>
      <c r="P9" s="35"/>
      <c r="Q9" s="35"/>
      <c r="R9" s="35"/>
      <c r="S9" s="35"/>
      <c r="T9" s="35"/>
    </row>
    <row r="10" spans="1:20" s="6" customFormat="1" ht="21" customHeight="1">
      <c r="A10" s="307" t="s">
        <v>5</v>
      </c>
      <c r="B10" s="148" t="s">
        <v>3</v>
      </c>
      <c r="C10" s="120">
        <v>29773</v>
      </c>
      <c r="D10" s="308">
        <f t="shared" si="0"/>
        <v>0.48861062789247384</v>
      </c>
      <c r="E10" s="309"/>
      <c r="F10" s="309"/>
      <c r="G10" s="309"/>
      <c r="H10" s="309"/>
      <c r="I10" s="309"/>
      <c r="J10" s="309"/>
      <c r="K10" s="309"/>
      <c r="L10" s="309"/>
      <c r="M10" s="35"/>
      <c r="N10" s="35"/>
      <c r="O10" s="35"/>
      <c r="P10" s="35"/>
      <c r="Q10" s="35"/>
      <c r="R10" s="35"/>
      <c r="S10" s="35"/>
      <c r="T10" s="35"/>
    </row>
    <row r="11" spans="1:20" s="6" customFormat="1" ht="21" customHeight="1">
      <c r="A11" s="312" t="s">
        <v>120</v>
      </c>
      <c r="B11" s="148" t="s">
        <v>3</v>
      </c>
      <c r="C11" s="313">
        <v>5858</v>
      </c>
      <c r="D11" s="308">
        <f t="shared" si="0"/>
        <v>0.09613680375488233</v>
      </c>
      <c r="E11" s="309"/>
      <c r="F11" s="309"/>
      <c r="G11" s="309"/>
      <c r="H11" s="309"/>
      <c r="I11" s="309"/>
      <c r="J11" s="309"/>
      <c r="K11" s="309"/>
      <c r="L11" s="309"/>
      <c r="M11" s="35"/>
      <c r="N11" s="35"/>
      <c r="O11" s="35"/>
      <c r="P11" s="35"/>
      <c r="Q11" s="35"/>
      <c r="R11" s="35"/>
      <c r="S11" s="35"/>
      <c r="T11" s="35"/>
    </row>
    <row r="12" spans="1:15" ht="21" customHeight="1">
      <c r="A12" s="314" t="s">
        <v>65</v>
      </c>
      <c r="B12" s="315" t="s">
        <v>3</v>
      </c>
      <c r="C12" s="313">
        <v>5372</v>
      </c>
      <c r="D12" s="308">
        <f t="shared" si="0"/>
        <v>0.08816096103981357</v>
      </c>
      <c r="E12" s="168"/>
      <c r="F12" s="168"/>
      <c r="G12" s="168"/>
      <c r="H12" s="168"/>
      <c r="I12" s="168"/>
      <c r="J12" s="168"/>
      <c r="K12" s="168"/>
      <c r="L12" s="169"/>
      <c r="O12" s="50"/>
    </row>
    <row r="13" spans="1:15" ht="21" customHeight="1" thickBot="1">
      <c r="A13" s="307" t="s">
        <v>66</v>
      </c>
      <c r="B13" s="148" t="s">
        <v>3</v>
      </c>
      <c r="C13" s="316">
        <v>652</v>
      </c>
      <c r="D13" s="317">
        <f t="shared" si="0"/>
        <v>0.010700101749433814</v>
      </c>
      <c r="E13" s="168"/>
      <c r="F13" s="168"/>
      <c r="G13" s="168"/>
      <c r="H13" s="168"/>
      <c r="I13" s="170"/>
      <c r="J13" s="168"/>
      <c r="K13" s="168"/>
      <c r="L13" s="168"/>
      <c r="O13" s="50"/>
    </row>
    <row r="14" spans="1:15" ht="12" customHeight="1" hidden="1">
      <c r="A14" s="318" t="s">
        <v>7</v>
      </c>
      <c r="B14" s="319" t="s">
        <v>3</v>
      </c>
      <c r="C14" s="320">
        <v>663</v>
      </c>
      <c r="D14" s="168"/>
      <c r="E14" s="168"/>
      <c r="F14" s="168"/>
      <c r="G14" s="168"/>
      <c r="H14" s="168"/>
      <c r="I14" s="321"/>
      <c r="J14" s="168"/>
      <c r="K14" s="168"/>
      <c r="L14" s="168"/>
      <c r="N14" s="39"/>
      <c r="O14" s="279"/>
    </row>
    <row r="15" spans="1:15" ht="15.75" customHeight="1" thickBot="1">
      <c r="A15" s="322"/>
      <c r="B15" s="323"/>
      <c r="C15" s="324"/>
      <c r="D15" s="168"/>
      <c r="E15" s="168"/>
      <c r="F15" s="325"/>
      <c r="G15" s="325"/>
      <c r="H15" s="325"/>
      <c r="I15" s="326"/>
      <c r="J15" s="168"/>
      <c r="K15" s="168"/>
      <c r="L15" s="168"/>
      <c r="O15" s="50"/>
    </row>
    <row r="16" spans="1:12" ht="100.5" customHeight="1" thickBot="1">
      <c r="A16" s="300" t="s">
        <v>0</v>
      </c>
      <c r="B16" s="301" t="s">
        <v>1</v>
      </c>
      <c r="C16" s="263" t="s">
        <v>24</v>
      </c>
      <c r="D16" s="263" t="s">
        <v>25</v>
      </c>
      <c r="E16" s="327" t="s">
        <v>41</v>
      </c>
      <c r="F16" s="263" t="s">
        <v>22</v>
      </c>
      <c r="G16" s="297" t="s">
        <v>38</v>
      </c>
      <c r="H16" s="297" t="s">
        <v>39</v>
      </c>
      <c r="I16" s="263" t="s">
        <v>23</v>
      </c>
      <c r="J16" s="168"/>
      <c r="K16" s="168"/>
      <c r="L16" s="168"/>
    </row>
    <row r="17" spans="1:12" ht="16.5" customHeight="1" thickBot="1">
      <c r="A17" s="328">
        <v>1</v>
      </c>
      <c r="B17" s="329">
        <v>2</v>
      </c>
      <c r="C17" s="297">
        <v>3</v>
      </c>
      <c r="D17" s="297">
        <v>4</v>
      </c>
      <c r="E17" s="297">
        <v>5</v>
      </c>
      <c r="F17" s="297">
        <v>6</v>
      </c>
      <c r="G17" s="297">
        <v>7</v>
      </c>
      <c r="H17" s="297">
        <v>8</v>
      </c>
      <c r="I17" s="297">
        <v>9</v>
      </c>
      <c r="J17" s="604"/>
      <c r="K17" s="168"/>
      <c r="L17" s="599"/>
    </row>
    <row r="18" spans="1:20" s="108" customFormat="1" ht="19.5" customHeight="1">
      <c r="A18" s="330" t="s">
        <v>33</v>
      </c>
      <c r="B18" s="304" t="s">
        <v>9</v>
      </c>
      <c r="C18" s="260">
        <f aca="true" t="shared" si="1" ref="C18:I18">SUM(C19:C24)</f>
        <v>231280</v>
      </c>
      <c r="D18" s="260">
        <f t="shared" si="1"/>
        <v>85818</v>
      </c>
      <c r="E18" s="260">
        <f t="shared" si="1"/>
        <v>14351</v>
      </c>
      <c r="F18" s="260">
        <f t="shared" si="1"/>
        <v>60113</v>
      </c>
      <c r="G18" s="260">
        <f t="shared" si="1"/>
        <v>51325</v>
      </c>
      <c r="H18" s="260">
        <f t="shared" si="1"/>
        <v>19673</v>
      </c>
      <c r="I18" s="260">
        <f t="shared" si="1"/>
        <v>26500</v>
      </c>
      <c r="J18" s="604"/>
      <c r="K18" s="331"/>
      <c r="L18" s="599"/>
      <c r="M18" s="109"/>
      <c r="N18" s="257"/>
      <c r="O18" s="110"/>
      <c r="P18" s="111"/>
      <c r="Q18" s="111"/>
      <c r="R18" s="111"/>
      <c r="S18" s="111"/>
      <c r="T18" s="111"/>
    </row>
    <row r="19" spans="1:20" s="114" customFormat="1" ht="21" customHeight="1">
      <c r="A19" s="307" t="s">
        <v>4</v>
      </c>
      <c r="B19" s="148" t="s">
        <v>9</v>
      </c>
      <c r="C19" s="112">
        <f>SUM(D19:H19)</f>
        <v>58972</v>
      </c>
      <c r="D19" s="112">
        <f>25970+55</f>
        <v>26025</v>
      </c>
      <c r="E19" s="112">
        <v>3482</v>
      </c>
      <c r="F19" s="112">
        <v>14588</v>
      </c>
      <c r="G19" s="112">
        <f>5403+1522+500</f>
        <v>7425</v>
      </c>
      <c r="H19" s="112">
        <v>7452</v>
      </c>
      <c r="I19" s="112">
        <f>11247-900</f>
        <v>10347</v>
      </c>
      <c r="J19" s="332"/>
      <c r="K19" s="333"/>
      <c r="L19" s="332"/>
      <c r="M19" s="109"/>
      <c r="N19" s="258"/>
      <c r="O19" s="79"/>
      <c r="P19" s="113"/>
      <c r="Q19" s="115"/>
      <c r="R19" s="113"/>
      <c r="S19" s="113"/>
      <c r="T19" s="113"/>
    </row>
    <row r="20" spans="1:20" s="114" customFormat="1" ht="21" customHeight="1">
      <c r="A20" s="307" t="s">
        <v>10</v>
      </c>
      <c r="B20" s="148" t="s">
        <v>9</v>
      </c>
      <c r="C20" s="112">
        <f>SUM(D20:H20)</f>
        <v>53282</v>
      </c>
      <c r="D20" s="112">
        <f>8621-41</f>
        <v>8580</v>
      </c>
      <c r="E20" s="112">
        <v>1058</v>
      </c>
      <c r="F20" s="112">
        <v>4431</v>
      </c>
      <c r="G20" s="112">
        <f>28445+5889+1000</f>
        <v>35334</v>
      </c>
      <c r="H20" s="112">
        <v>3879</v>
      </c>
      <c r="I20" s="112">
        <v>10493</v>
      </c>
      <c r="J20" s="332"/>
      <c r="K20" s="333"/>
      <c r="L20" s="332"/>
      <c r="M20" s="109"/>
      <c r="N20" s="258"/>
      <c r="O20" s="79"/>
      <c r="P20" s="113"/>
      <c r="Q20" s="115"/>
      <c r="R20" s="113"/>
      <c r="S20" s="113"/>
      <c r="T20" s="113"/>
    </row>
    <row r="21" spans="1:20" s="114" customFormat="1" ht="21" customHeight="1">
      <c r="A21" s="307" t="s">
        <v>5</v>
      </c>
      <c r="B21" s="148" t="s">
        <v>9</v>
      </c>
      <c r="C21" s="112">
        <f>SUM(D21:H21)</f>
        <v>83660</v>
      </c>
      <c r="D21" s="112">
        <f>30304+64</f>
        <v>30368</v>
      </c>
      <c r="E21" s="112">
        <v>7012</v>
      </c>
      <c r="F21" s="112">
        <v>29372</v>
      </c>
      <c r="G21" s="112">
        <f>5448+1218+1900</f>
        <v>8566</v>
      </c>
      <c r="H21" s="112">
        <v>8342</v>
      </c>
      <c r="I21" s="112">
        <f>4760+900</f>
        <v>5660</v>
      </c>
      <c r="J21" s="332"/>
      <c r="K21" s="333"/>
      <c r="L21" s="332"/>
      <c r="M21" s="109"/>
      <c r="N21" s="258"/>
      <c r="O21" s="79"/>
      <c r="P21" s="115"/>
      <c r="Q21" s="115"/>
      <c r="R21" s="113"/>
      <c r="S21" s="113"/>
      <c r="T21" s="113"/>
    </row>
    <row r="22" spans="1:20" s="108" customFormat="1" ht="16.5" customHeight="1">
      <c r="A22" s="312" t="s">
        <v>120</v>
      </c>
      <c r="B22" s="148" t="s">
        <v>9</v>
      </c>
      <c r="C22" s="120">
        <f>ROUND(C11*3,0)</f>
        <v>17574</v>
      </c>
      <c r="D22" s="112">
        <v>10415</v>
      </c>
      <c r="E22" s="112">
        <v>1380</v>
      </c>
      <c r="F22" s="112">
        <v>5779</v>
      </c>
      <c r="G22" s="112"/>
      <c r="H22" s="112"/>
      <c r="I22" s="112"/>
      <c r="J22" s="332"/>
      <c r="K22" s="332"/>
      <c r="L22" s="332"/>
      <c r="M22" s="109"/>
      <c r="N22" s="259"/>
      <c r="O22" s="118"/>
      <c r="P22" s="109"/>
      <c r="Q22" s="111"/>
      <c r="R22" s="111"/>
      <c r="S22" s="111"/>
      <c r="T22" s="111"/>
    </row>
    <row r="23" spans="1:20" s="108" customFormat="1" ht="21" customHeight="1">
      <c r="A23" s="334" t="s">
        <v>65</v>
      </c>
      <c r="B23" s="148" t="s">
        <v>9</v>
      </c>
      <c r="C23" s="120">
        <f>ROUND(C12*3,0)</f>
        <v>16116</v>
      </c>
      <c r="D23" s="112">
        <v>9551</v>
      </c>
      <c r="E23" s="120">
        <v>1265</v>
      </c>
      <c r="F23" s="120">
        <v>5300</v>
      </c>
      <c r="G23" s="120"/>
      <c r="H23" s="120"/>
      <c r="I23" s="120"/>
      <c r="J23" s="332"/>
      <c r="K23" s="332"/>
      <c r="L23" s="335"/>
      <c r="M23" s="107"/>
      <c r="N23" s="258"/>
      <c r="O23" s="107"/>
      <c r="P23" s="111"/>
      <c r="Q23" s="111"/>
      <c r="R23" s="111"/>
      <c r="S23" s="111"/>
      <c r="T23" s="111"/>
    </row>
    <row r="24" spans="1:20" s="108" customFormat="1" ht="21" customHeight="1" thickBot="1">
      <c r="A24" s="336" t="s">
        <v>66</v>
      </c>
      <c r="B24" s="337" t="s">
        <v>9</v>
      </c>
      <c r="C24" s="123">
        <f>ROUND(C13*2.57,0)</f>
        <v>1676</v>
      </c>
      <c r="D24" s="124">
        <v>879</v>
      </c>
      <c r="E24" s="123">
        <v>154</v>
      </c>
      <c r="F24" s="123">
        <v>643</v>
      </c>
      <c r="G24" s="123"/>
      <c r="H24" s="123"/>
      <c r="I24" s="123"/>
      <c r="J24" s="332"/>
      <c r="K24" s="332"/>
      <c r="L24" s="332"/>
      <c r="M24" s="126"/>
      <c r="N24" s="126"/>
      <c r="O24" s="126"/>
      <c r="P24" s="109"/>
      <c r="Q24" s="111"/>
      <c r="R24" s="111"/>
      <c r="S24" s="111"/>
      <c r="T24" s="111"/>
    </row>
    <row r="25" spans="1:12" ht="14.25" customHeight="1" thickBot="1">
      <c r="A25" s="338"/>
      <c r="B25" s="182"/>
      <c r="C25" s="261"/>
      <c r="D25" s="168"/>
      <c r="E25" s="168"/>
      <c r="F25" s="262"/>
      <c r="G25" s="168"/>
      <c r="H25" s="168"/>
      <c r="I25" s="170"/>
      <c r="J25" s="309"/>
      <c r="K25" s="339"/>
      <c r="L25" s="309"/>
    </row>
    <row r="26" spans="1:12" ht="44.25" customHeight="1">
      <c r="A26" s="600" t="s">
        <v>0</v>
      </c>
      <c r="B26" s="602" t="s">
        <v>1</v>
      </c>
      <c r="C26" s="593" t="s">
        <v>45</v>
      </c>
      <c r="D26" s="593" t="s">
        <v>67</v>
      </c>
      <c r="E26" s="593" t="s">
        <v>26</v>
      </c>
      <c r="F26" s="593" t="s">
        <v>40</v>
      </c>
      <c r="G26" s="593" t="s">
        <v>27</v>
      </c>
      <c r="H26" s="593" t="s">
        <v>28</v>
      </c>
      <c r="I26" s="593" t="s">
        <v>37</v>
      </c>
      <c r="J26" s="576" t="s">
        <v>29</v>
      </c>
      <c r="K26" s="309"/>
      <c r="L26" s="309"/>
    </row>
    <row r="27" spans="1:12" ht="87.75" customHeight="1" thickBot="1">
      <c r="A27" s="601"/>
      <c r="B27" s="603"/>
      <c r="C27" s="594"/>
      <c r="D27" s="594"/>
      <c r="E27" s="594"/>
      <c r="F27" s="594"/>
      <c r="G27" s="594"/>
      <c r="H27" s="594"/>
      <c r="I27" s="594"/>
      <c r="J27" s="577"/>
      <c r="K27" s="309"/>
      <c r="L27" s="309"/>
    </row>
    <row r="28" spans="1:12" ht="16.5" customHeight="1" thickBot="1">
      <c r="A28" s="340">
        <v>1</v>
      </c>
      <c r="B28" s="301">
        <v>2</v>
      </c>
      <c r="C28" s="263">
        <v>3</v>
      </c>
      <c r="D28" s="263">
        <v>4</v>
      </c>
      <c r="E28" s="263">
        <v>5</v>
      </c>
      <c r="F28" s="263">
        <v>6</v>
      </c>
      <c r="G28" s="263">
        <v>7</v>
      </c>
      <c r="H28" s="263">
        <v>8</v>
      </c>
      <c r="I28" s="263">
        <v>9</v>
      </c>
      <c r="J28" s="263">
        <v>9</v>
      </c>
      <c r="K28" s="168"/>
      <c r="L28" s="168"/>
    </row>
    <row r="29" spans="1:12" ht="16.5" customHeight="1">
      <c r="A29" s="341" t="s">
        <v>34</v>
      </c>
      <c r="B29" s="342"/>
      <c r="C29" s="264"/>
      <c r="D29" s="264"/>
      <c r="E29" s="264"/>
      <c r="F29" s="264"/>
      <c r="G29" s="264"/>
      <c r="H29" s="264"/>
      <c r="I29" s="264"/>
      <c r="J29" s="264"/>
      <c r="K29" s="168"/>
      <c r="L29" s="343"/>
    </row>
    <row r="30" spans="1:20" s="6" customFormat="1" ht="12" customHeight="1">
      <c r="A30" s="344" t="s">
        <v>35</v>
      </c>
      <c r="B30" s="345" t="s">
        <v>11</v>
      </c>
      <c r="C30" s="33">
        <f>D30+J30</f>
        <v>4.689736254818422</v>
      </c>
      <c r="D30" s="81">
        <f>E30+F30+G30+H30+I30</f>
        <v>3.99</v>
      </c>
      <c r="E30" s="81">
        <f aca="true" t="shared" si="2" ref="E30:E35">ROUND(D19/C8,2)</f>
        <v>1.76</v>
      </c>
      <c r="F30" s="81">
        <f aca="true" t="shared" si="3" ref="F30:F35">ROUND(E19/C8,2)</f>
        <v>0.24</v>
      </c>
      <c r="G30" s="81">
        <f aca="true" t="shared" si="4" ref="G30:G35">ROUND(F19/C8,2)</f>
        <v>0.99</v>
      </c>
      <c r="H30" s="81">
        <f>ROUND(G19/C8,2)</f>
        <v>0.5</v>
      </c>
      <c r="I30" s="81">
        <f>ROUND(H19/C8,2)</f>
        <v>0.5</v>
      </c>
      <c r="J30" s="81">
        <f>I19/C8</f>
        <v>0.6997362548184216</v>
      </c>
      <c r="K30" s="346"/>
      <c r="L30" s="346"/>
      <c r="M30" s="89"/>
      <c r="N30" s="90"/>
      <c r="O30" s="35"/>
      <c r="P30" s="35"/>
      <c r="Q30" s="88"/>
      <c r="R30" s="35"/>
      <c r="S30" s="35"/>
      <c r="T30" s="35"/>
    </row>
    <row r="31" spans="1:20" s="6" customFormat="1" ht="12" customHeight="1">
      <c r="A31" s="347" t="s">
        <v>36</v>
      </c>
      <c r="B31" s="319" t="s">
        <v>11</v>
      </c>
      <c r="C31" s="33">
        <f>D31+J31</f>
        <v>14.20593054318789</v>
      </c>
      <c r="D31" s="81">
        <f>E31+F31+G31+H31+I31</f>
        <v>11.87</v>
      </c>
      <c r="E31" s="81">
        <f t="shared" si="2"/>
        <v>1.91</v>
      </c>
      <c r="F31" s="81">
        <f t="shared" si="3"/>
        <v>0.24</v>
      </c>
      <c r="G31" s="81">
        <f t="shared" si="4"/>
        <v>0.99</v>
      </c>
      <c r="H31" s="81">
        <f>ROUND(G20/C9,2)</f>
        <v>7.87</v>
      </c>
      <c r="I31" s="81">
        <f>ROUND(H20/C9,2)</f>
        <v>0.86</v>
      </c>
      <c r="J31" s="81">
        <f>I20/C9</f>
        <v>2.3359305431878896</v>
      </c>
      <c r="K31" s="346"/>
      <c r="L31" s="339"/>
      <c r="M31" s="89"/>
      <c r="N31" s="35"/>
      <c r="O31" s="35"/>
      <c r="P31" s="35"/>
      <c r="Q31" s="90"/>
      <c r="R31" s="35"/>
      <c r="S31" s="35"/>
      <c r="T31" s="35"/>
    </row>
    <row r="32" spans="1:20" s="6" customFormat="1" ht="12" customHeight="1">
      <c r="A32" s="347" t="str">
        <f>A21</f>
        <v>"Столичен автотранспорт" ЕАД</v>
      </c>
      <c r="B32" s="319" t="s">
        <v>11</v>
      </c>
      <c r="C32" s="33">
        <f>D32+J32</f>
        <v>3.0101051288079805</v>
      </c>
      <c r="D32" s="81">
        <f>E32+F32+G32+H32+I32</f>
        <v>2.8200000000000003</v>
      </c>
      <c r="E32" s="81">
        <f t="shared" si="2"/>
        <v>1.02</v>
      </c>
      <c r="F32" s="81">
        <f t="shared" si="3"/>
        <v>0.24</v>
      </c>
      <c r="G32" s="81">
        <f t="shared" si="4"/>
        <v>0.99</v>
      </c>
      <c r="H32" s="81">
        <f>ROUND(G21/C10,2)</f>
        <v>0.29</v>
      </c>
      <c r="I32" s="81">
        <f>ROUND(H21/C10,2)</f>
        <v>0.28</v>
      </c>
      <c r="J32" s="81">
        <f>I21/C10</f>
        <v>0.1901051288079804</v>
      </c>
      <c r="K32" s="346"/>
      <c r="L32" s="339"/>
      <c r="M32" s="89"/>
      <c r="N32" s="35"/>
      <c r="O32" s="35"/>
      <c r="P32" s="35"/>
      <c r="Q32" s="90"/>
      <c r="R32" s="35"/>
      <c r="S32" s="35"/>
      <c r="T32" s="35"/>
    </row>
    <row r="33" spans="1:20" s="6" customFormat="1" ht="12" customHeight="1">
      <c r="A33" s="347" t="str">
        <f>A22</f>
        <v>"MTK Гроуп" ООД</v>
      </c>
      <c r="B33" s="319" t="s">
        <v>11</v>
      </c>
      <c r="C33" s="33">
        <v>3</v>
      </c>
      <c r="D33" s="81">
        <v>3</v>
      </c>
      <c r="E33" s="81">
        <f t="shared" si="2"/>
        <v>1.78</v>
      </c>
      <c r="F33" s="81">
        <f t="shared" si="3"/>
        <v>0.24</v>
      </c>
      <c r="G33" s="81">
        <f t="shared" si="4"/>
        <v>0.99</v>
      </c>
      <c r="H33" s="265"/>
      <c r="I33" s="33"/>
      <c r="J33" s="33"/>
      <c r="K33" s="309"/>
      <c r="L33" s="309"/>
      <c r="M33" s="89"/>
      <c r="N33" s="35"/>
      <c r="O33" s="35"/>
      <c r="P33" s="35"/>
      <c r="Q33" s="35"/>
      <c r="R33" s="35"/>
      <c r="S33" s="35"/>
      <c r="T33" s="35"/>
    </row>
    <row r="34" spans="1:13" ht="12" customHeight="1">
      <c r="A34" s="344" t="s">
        <v>65</v>
      </c>
      <c r="B34" s="345" t="s">
        <v>11</v>
      </c>
      <c r="C34" s="266" t="s">
        <v>95</v>
      </c>
      <c r="D34" s="266" t="s">
        <v>95</v>
      </c>
      <c r="E34" s="81">
        <f t="shared" si="2"/>
        <v>1.78</v>
      </c>
      <c r="F34" s="81">
        <f t="shared" si="3"/>
        <v>0.24</v>
      </c>
      <c r="G34" s="81">
        <f t="shared" si="4"/>
        <v>0.99</v>
      </c>
      <c r="H34" s="267"/>
      <c r="I34" s="348"/>
      <c r="J34" s="348"/>
      <c r="K34" s="168"/>
      <c r="L34" s="168"/>
      <c r="M34" s="89"/>
    </row>
    <row r="35" spans="1:13" ht="12" customHeight="1" thickBot="1">
      <c r="A35" s="349" t="s">
        <v>6</v>
      </c>
      <c r="B35" s="193" t="s">
        <v>11</v>
      </c>
      <c r="C35" s="268">
        <v>2.57</v>
      </c>
      <c r="D35" s="82">
        <v>2.57</v>
      </c>
      <c r="E35" s="82">
        <f t="shared" si="2"/>
        <v>1.35</v>
      </c>
      <c r="F35" s="82">
        <f t="shared" si="3"/>
        <v>0.24</v>
      </c>
      <c r="G35" s="82">
        <f t="shared" si="4"/>
        <v>0.99</v>
      </c>
      <c r="H35" s="269"/>
      <c r="I35" s="268"/>
      <c r="J35" s="268"/>
      <c r="K35" s="168"/>
      <c r="L35" s="168"/>
      <c r="M35" s="89"/>
    </row>
    <row r="36" spans="1:12" ht="14.25" customHeight="1" thickBot="1">
      <c r="A36" s="350"/>
      <c r="B36" s="351"/>
      <c r="C36" s="270"/>
      <c r="D36" s="168"/>
      <c r="E36" s="168"/>
      <c r="F36" s="168"/>
      <c r="G36" s="168"/>
      <c r="H36" s="168"/>
      <c r="I36" s="168"/>
      <c r="J36" s="168"/>
      <c r="K36" s="168"/>
      <c r="L36" s="168"/>
    </row>
    <row r="37" spans="1:12" ht="19.5" customHeight="1">
      <c r="A37" s="352" t="s">
        <v>12</v>
      </c>
      <c r="B37" s="353" t="s">
        <v>9</v>
      </c>
      <c r="C37" s="271">
        <f>C38+C40+C43+C45</f>
        <v>230835</v>
      </c>
      <c r="D37" s="272"/>
      <c r="E37" s="168" t="s">
        <v>17</v>
      </c>
      <c r="F37" s="273"/>
      <c r="G37" s="168"/>
      <c r="H37" s="168"/>
      <c r="I37" s="168"/>
      <c r="J37" s="168"/>
      <c r="K37" s="168"/>
      <c r="L37" s="168"/>
    </row>
    <row r="38" spans="1:12" ht="16.5" customHeight="1">
      <c r="A38" s="307" t="s">
        <v>18</v>
      </c>
      <c r="B38" s="148" t="s">
        <v>9</v>
      </c>
      <c r="C38" s="120">
        <f>C39</f>
        <v>85373</v>
      </c>
      <c r="D38" s="371"/>
      <c r="E38" s="168"/>
      <c r="F38" s="168"/>
      <c r="G38" s="168"/>
      <c r="H38" s="168"/>
      <c r="I38" s="354"/>
      <c r="J38" s="168"/>
      <c r="K38" s="168"/>
      <c r="L38" s="168"/>
    </row>
    <row r="39" spans="1:12" ht="12.75" customHeight="1">
      <c r="A39" s="318" t="s">
        <v>136</v>
      </c>
      <c r="B39" s="319" t="s">
        <v>9</v>
      </c>
      <c r="C39" s="275">
        <v>85373</v>
      </c>
      <c r="D39" s="183"/>
      <c r="E39" s="168"/>
      <c r="F39" s="168"/>
      <c r="G39" s="168"/>
      <c r="H39" s="168"/>
      <c r="I39" s="354"/>
      <c r="J39" s="168"/>
      <c r="K39" s="168"/>
      <c r="L39" s="168"/>
    </row>
    <row r="40" spans="1:12" ht="12.75" customHeight="1">
      <c r="A40" s="355" t="s">
        <v>13</v>
      </c>
      <c r="B40" s="319" t="s">
        <v>9</v>
      </c>
      <c r="C40" s="356">
        <f>C41</f>
        <v>60113</v>
      </c>
      <c r="D40" s="372"/>
      <c r="E40" s="168"/>
      <c r="F40" s="168"/>
      <c r="G40" s="168"/>
      <c r="H40" s="168"/>
      <c r="I40" s="354"/>
      <c r="J40" s="168"/>
      <c r="K40" s="168"/>
      <c r="L40" s="168"/>
    </row>
    <row r="41" spans="1:12" ht="12" customHeight="1">
      <c r="A41" s="357" t="s">
        <v>31</v>
      </c>
      <c r="B41" s="319" t="s">
        <v>9</v>
      </c>
      <c r="C41" s="358">
        <v>60113</v>
      </c>
      <c r="D41" s="359"/>
      <c r="E41" s="168"/>
      <c r="F41" s="168"/>
      <c r="G41" s="168"/>
      <c r="H41" s="168"/>
      <c r="I41" s="354"/>
      <c r="J41" s="168"/>
      <c r="K41" s="168"/>
      <c r="L41" s="168"/>
    </row>
    <row r="42" spans="1:12" ht="12" customHeight="1" hidden="1">
      <c r="A42" s="357" t="s">
        <v>14</v>
      </c>
      <c r="B42" s="319" t="s">
        <v>9</v>
      </c>
      <c r="C42" s="358"/>
      <c r="D42" s="359"/>
      <c r="E42" s="168"/>
      <c r="F42" s="168"/>
      <c r="G42" s="168"/>
      <c r="H42" s="168"/>
      <c r="I42" s="354"/>
      <c r="J42" s="168"/>
      <c r="K42" s="168"/>
      <c r="L42" s="168"/>
    </row>
    <row r="43" spans="1:12" ht="13.5" customHeight="1">
      <c r="A43" s="355" t="s">
        <v>15</v>
      </c>
      <c r="B43" s="319" t="s">
        <v>9</v>
      </c>
      <c r="C43" s="356">
        <f>C44</f>
        <v>14351</v>
      </c>
      <c r="D43" s="370"/>
      <c r="E43" s="168"/>
      <c r="F43" s="168"/>
      <c r="G43" s="168"/>
      <c r="H43" s="168"/>
      <c r="I43" s="354"/>
      <c r="J43" s="168"/>
      <c r="K43" s="168"/>
      <c r="L43" s="168"/>
    </row>
    <row r="44" spans="1:12" ht="12" customHeight="1">
      <c r="A44" s="318" t="s">
        <v>42</v>
      </c>
      <c r="B44" s="319" t="s">
        <v>9</v>
      </c>
      <c r="C44" s="275">
        <v>14351</v>
      </c>
      <c r="D44" s="183"/>
      <c r="E44" s="168"/>
      <c r="F44" s="360"/>
      <c r="G44" s="168"/>
      <c r="H44" s="168"/>
      <c r="I44" s="354"/>
      <c r="J44" s="168"/>
      <c r="K44" s="168"/>
      <c r="L44" s="168"/>
    </row>
    <row r="45" spans="1:12" ht="15" customHeight="1">
      <c r="A45" s="355" t="s">
        <v>16</v>
      </c>
      <c r="B45" s="319" t="s">
        <v>9</v>
      </c>
      <c r="C45" s="356">
        <f>C46+C47+C48</f>
        <v>70998</v>
      </c>
      <c r="D45" s="370"/>
      <c r="E45" s="168"/>
      <c r="F45" s="168"/>
      <c r="G45" s="168"/>
      <c r="H45" s="360"/>
      <c r="I45" s="354"/>
      <c r="J45" s="168"/>
      <c r="K45" s="168"/>
      <c r="L45" s="168"/>
    </row>
    <row r="46" spans="1:20" s="6" customFormat="1" ht="12" customHeight="1">
      <c r="A46" s="361" t="s">
        <v>4</v>
      </c>
      <c r="B46" s="319" t="s">
        <v>9</v>
      </c>
      <c r="C46" s="275">
        <f>+G19+H19</f>
        <v>14877</v>
      </c>
      <c r="D46" s="183"/>
      <c r="E46" s="309"/>
      <c r="F46" s="187"/>
      <c r="G46" s="309"/>
      <c r="H46" s="309"/>
      <c r="I46" s="309"/>
      <c r="J46" s="309"/>
      <c r="K46" s="309"/>
      <c r="L46" s="309"/>
      <c r="M46" s="35"/>
      <c r="N46" s="35"/>
      <c r="O46" s="35"/>
      <c r="P46" s="35"/>
      <c r="Q46" s="35"/>
      <c r="R46" s="35"/>
      <c r="S46" s="35"/>
      <c r="T46" s="35"/>
    </row>
    <row r="47" spans="1:20" s="6" customFormat="1" ht="12" customHeight="1">
      <c r="A47" s="361" t="s">
        <v>5</v>
      </c>
      <c r="B47" s="319" t="s">
        <v>9</v>
      </c>
      <c r="C47" s="275">
        <f>+G21+H21</f>
        <v>16908</v>
      </c>
      <c r="D47" s="183"/>
      <c r="E47" s="309"/>
      <c r="F47" s="362"/>
      <c r="G47" s="309"/>
      <c r="H47" s="309"/>
      <c r="I47" s="309"/>
      <c r="J47" s="309"/>
      <c r="K47" s="309"/>
      <c r="L47" s="309"/>
      <c r="M47" s="35"/>
      <c r="N47" s="35"/>
      <c r="O47" s="35"/>
      <c r="P47" s="35"/>
      <c r="Q47" s="35"/>
      <c r="R47" s="35"/>
      <c r="S47" s="35"/>
      <c r="T47" s="35"/>
    </row>
    <row r="48" spans="1:20" s="6" customFormat="1" ht="12" customHeight="1" thickBot="1">
      <c r="A48" s="363" t="s">
        <v>10</v>
      </c>
      <c r="B48" s="193" t="s">
        <v>9</v>
      </c>
      <c r="C48" s="364">
        <f>+G20+H20</f>
        <v>39213</v>
      </c>
      <c r="D48" s="183"/>
      <c r="E48" s="309"/>
      <c r="F48" s="309"/>
      <c r="G48" s="188"/>
      <c r="H48" s="365"/>
      <c r="I48" s="309"/>
      <c r="J48" s="309"/>
      <c r="K48" s="309"/>
      <c r="L48" s="309"/>
      <c r="M48" s="35"/>
      <c r="N48" s="35"/>
      <c r="O48" s="35"/>
      <c r="P48" s="35"/>
      <c r="Q48" s="35"/>
      <c r="R48" s="35"/>
      <c r="S48" s="35"/>
      <c r="T48" s="35"/>
    </row>
    <row r="49" spans="1:20" s="6" customFormat="1" ht="12" customHeight="1" thickBot="1">
      <c r="A49" s="351"/>
      <c r="B49" s="182"/>
      <c r="C49" s="183"/>
      <c r="D49" s="183"/>
      <c r="E49" s="309"/>
      <c r="F49" s="309"/>
      <c r="G49" s="188"/>
      <c r="H49" s="365"/>
      <c r="I49" s="309"/>
      <c r="J49" s="309"/>
      <c r="K49" s="309"/>
      <c r="L49" s="309"/>
      <c r="M49" s="35"/>
      <c r="N49" s="35"/>
      <c r="O49" s="35"/>
      <c r="P49" s="35"/>
      <c r="Q49" s="35"/>
      <c r="R49" s="35"/>
      <c r="S49" s="35"/>
      <c r="T49" s="35"/>
    </row>
    <row r="50" spans="1:20" s="6" customFormat="1" ht="27.75" customHeight="1">
      <c r="A50" s="165" t="s">
        <v>124</v>
      </c>
      <c r="B50" s="166"/>
      <c r="C50" s="167"/>
      <c r="D50" s="183"/>
      <c r="E50" s="309"/>
      <c r="F50" s="309"/>
      <c r="G50" s="188"/>
      <c r="H50" s="365"/>
      <c r="I50" s="309"/>
      <c r="J50" s="309"/>
      <c r="K50" s="309"/>
      <c r="L50" s="309"/>
      <c r="M50" s="35"/>
      <c r="N50" s="35"/>
      <c r="O50" s="35"/>
      <c r="P50" s="35"/>
      <c r="Q50" s="35"/>
      <c r="R50" s="35"/>
      <c r="S50" s="35"/>
      <c r="T50" s="35"/>
    </row>
    <row r="51" spans="1:20" s="6" customFormat="1" ht="28.5" customHeight="1">
      <c r="A51" s="147" t="s">
        <v>55</v>
      </c>
      <c r="B51" s="171" t="s">
        <v>9</v>
      </c>
      <c r="C51" s="172">
        <f>54056-C52-C53</f>
        <v>36056</v>
      </c>
      <c r="D51" s="366">
        <f>SUM(C51:C53)</f>
        <v>54056</v>
      </c>
      <c r="E51" s="367"/>
      <c r="F51" s="309"/>
      <c r="G51" s="188"/>
      <c r="H51" s="365"/>
      <c r="I51" s="309"/>
      <c r="J51" s="309"/>
      <c r="K51" s="309"/>
      <c r="L51" s="309"/>
      <c r="M51" s="35"/>
      <c r="N51" s="35"/>
      <c r="O51" s="35"/>
      <c r="P51" s="35"/>
      <c r="Q51" s="35"/>
      <c r="R51" s="35"/>
      <c r="S51" s="35"/>
      <c r="T51" s="35"/>
    </row>
    <row r="52" spans="1:20" s="6" customFormat="1" ht="28.5" customHeight="1">
      <c r="A52" s="147" t="s">
        <v>56</v>
      </c>
      <c r="B52" s="148" t="s">
        <v>9</v>
      </c>
      <c r="C52" s="116">
        <v>13000</v>
      </c>
      <c r="D52" s="366"/>
      <c r="E52" s="367"/>
      <c r="F52" s="309"/>
      <c r="G52" s="188"/>
      <c r="H52" s="365"/>
      <c r="I52" s="309"/>
      <c r="J52" s="309"/>
      <c r="K52" s="309"/>
      <c r="L52" s="309"/>
      <c r="M52" s="35"/>
      <c r="N52" s="35"/>
      <c r="O52" s="35"/>
      <c r="P52" s="35"/>
      <c r="Q52" s="35"/>
      <c r="R52" s="35"/>
      <c r="S52" s="35"/>
      <c r="T52" s="35"/>
    </row>
    <row r="53" spans="1:20" s="6" customFormat="1" ht="15">
      <c r="A53" s="147" t="s">
        <v>126</v>
      </c>
      <c r="B53" s="148" t="s">
        <v>9</v>
      </c>
      <c r="C53" s="116">
        <f>5000</f>
        <v>5000</v>
      </c>
      <c r="D53" s="366"/>
      <c r="E53" s="367"/>
      <c r="F53" s="309"/>
      <c r="G53" s="188"/>
      <c r="H53" s="365"/>
      <c r="I53" s="309"/>
      <c r="J53" s="309"/>
      <c r="K53" s="309"/>
      <c r="L53" s="309"/>
      <c r="M53" s="35"/>
      <c r="N53" s="35"/>
      <c r="O53" s="35"/>
      <c r="P53" s="35"/>
      <c r="Q53" s="35"/>
      <c r="R53" s="35"/>
      <c r="S53" s="35"/>
      <c r="T53" s="35"/>
    </row>
    <row r="54" spans="1:20" s="6" customFormat="1" ht="28.5" customHeight="1">
      <c r="A54" s="175" t="s">
        <v>133</v>
      </c>
      <c r="B54" s="148" t="s">
        <v>9</v>
      </c>
      <c r="C54" s="176">
        <f>11717+8221</f>
        <v>19938</v>
      </c>
      <c r="D54" s="366"/>
      <c r="E54" s="368">
        <f>D56-D51</f>
        <v>2914</v>
      </c>
      <c r="F54" s="309"/>
      <c r="G54" s="188"/>
      <c r="H54" s="365"/>
      <c r="I54" s="309"/>
      <c r="J54" s="309"/>
      <c r="K54" s="309"/>
      <c r="L54" s="309"/>
      <c r="M54" s="35"/>
      <c r="N54" s="35"/>
      <c r="O54" s="35"/>
      <c r="P54" s="35"/>
      <c r="Q54" s="35"/>
      <c r="R54" s="35"/>
      <c r="S54" s="35"/>
      <c r="T54" s="35"/>
    </row>
    <row r="55" spans="1:20" s="6" customFormat="1" ht="28.5" customHeight="1">
      <c r="A55" s="175" t="s">
        <v>44</v>
      </c>
      <c r="B55" s="148" t="s">
        <v>9</v>
      </c>
      <c r="C55" s="176">
        <v>2200</v>
      </c>
      <c r="D55" s="366"/>
      <c r="E55" s="367"/>
      <c r="F55" s="309"/>
      <c r="G55" s="188"/>
      <c r="H55" s="365"/>
      <c r="I55" s="309"/>
      <c r="J55" s="309"/>
      <c r="K55" s="309"/>
      <c r="L55" s="309"/>
      <c r="M55" s="35"/>
      <c r="N55" s="35"/>
      <c r="O55" s="35"/>
      <c r="P55" s="35"/>
      <c r="Q55" s="35"/>
      <c r="R55" s="35"/>
      <c r="S55" s="35"/>
      <c r="T55" s="35"/>
    </row>
    <row r="56" spans="1:20" s="6" customFormat="1" ht="28.5" customHeight="1" thickBot="1">
      <c r="A56" s="178" t="s">
        <v>53</v>
      </c>
      <c r="B56" s="179"/>
      <c r="C56" s="180">
        <f>34832</f>
        <v>34832</v>
      </c>
      <c r="D56" s="366">
        <f>SUM(C54:C56)</f>
        <v>56970</v>
      </c>
      <c r="E56" s="367"/>
      <c r="F56" s="309"/>
      <c r="G56" s="188"/>
      <c r="H56" s="365"/>
      <c r="I56" s="309"/>
      <c r="J56" s="309"/>
      <c r="K56" s="309"/>
      <c r="L56" s="309"/>
      <c r="M56" s="35"/>
      <c r="N56" s="35"/>
      <c r="O56" s="35"/>
      <c r="P56" s="35"/>
      <c r="Q56" s="35"/>
      <c r="R56" s="35"/>
      <c r="S56" s="35"/>
      <c r="T56" s="35"/>
    </row>
    <row r="57" spans="1:20" s="6" customFormat="1" ht="12" customHeight="1" thickBot="1">
      <c r="A57" s="351"/>
      <c r="B57" s="182"/>
      <c r="C57" s="183"/>
      <c r="D57" s="183"/>
      <c r="E57" s="309"/>
      <c r="F57" s="309"/>
      <c r="G57" s="188"/>
      <c r="H57" s="365"/>
      <c r="I57" s="309"/>
      <c r="J57" s="309"/>
      <c r="K57" s="309"/>
      <c r="L57" s="309"/>
      <c r="M57" s="35"/>
      <c r="N57" s="35"/>
      <c r="O57" s="35"/>
      <c r="P57" s="35"/>
      <c r="Q57" s="35"/>
      <c r="R57" s="35"/>
      <c r="S57" s="35"/>
      <c r="T57" s="35"/>
    </row>
    <row r="58" spans="1:20" s="168" customFormat="1" ht="21.75" customHeight="1" thickBot="1">
      <c r="A58" s="196" t="s">
        <v>127</v>
      </c>
      <c r="B58" s="369" t="s">
        <v>9</v>
      </c>
      <c r="C58" s="197">
        <f>C18-C37</f>
        <v>445</v>
      </c>
      <c r="K58" s="169"/>
      <c r="M58" s="170"/>
      <c r="N58" s="170"/>
      <c r="O58" s="170"/>
      <c r="P58" s="170"/>
      <c r="Q58" s="170"/>
      <c r="R58" s="170"/>
      <c r="S58" s="170"/>
      <c r="T58" s="170"/>
    </row>
    <row r="59" spans="1:4" s="170" customFormat="1" ht="11.25" customHeight="1">
      <c r="A59" s="181"/>
      <c r="B59" s="182"/>
      <c r="C59" s="183"/>
      <c r="D59" s="183"/>
    </row>
    <row r="60" spans="1:4" s="170" customFormat="1" ht="11.25" customHeight="1">
      <c r="A60" s="181"/>
      <c r="B60" s="182"/>
      <c r="C60" s="183"/>
      <c r="D60" s="183"/>
    </row>
    <row r="61" spans="1:208"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 s="168" customFormat="1" ht="38.25" customHeight="1" thickBot="1">
      <c r="A62" s="184" t="s">
        <v>128</v>
      </c>
      <c r="B62" s="185" t="s">
        <v>9</v>
      </c>
      <c r="C62" s="186">
        <f>C63+C64</f>
        <v>26500</v>
      </c>
      <c r="E62" s="187" t="s">
        <v>50</v>
      </c>
      <c r="G62" s="188"/>
      <c r="H62" s="188"/>
      <c r="M62" s="170"/>
      <c r="N62" s="170"/>
      <c r="O62" s="170"/>
      <c r="P62" s="170"/>
      <c r="Q62" s="170"/>
      <c r="R62" s="170"/>
      <c r="S62" s="170"/>
      <c r="T62" s="170"/>
    </row>
    <row r="63" spans="1:208" s="170" customFormat="1" ht="14.25" customHeight="1">
      <c r="A63" s="189" t="s">
        <v>68</v>
      </c>
      <c r="B63" s="190" t="s">
        <v>9</v>
      </c>
      <c r="C63" s="191">
        <v>8500</v>
      </c>
      <c r="D63" s="44"/>
      <c r="E63" s="44"/>
      <c r="F63" s="44" t="s">
        <v>51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170" customFormat="1" ht="14.25" customHeight="1" thickBot="1">
      <c r="A64" s="192" t="s">
        <v>30</v>
      </c>
      <c r="B64" s="193" t="s">
        <v>9</v>
      </c>
      <c r="C64" s="194">
        <v>18000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4.25">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14.25">
      <c r="A67" s="605" t="s">
        <v>138</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39.75" customHeight="1">
      <c r="A68" s="605" t="s">
        <v>137</v>
      </c>
      <c r="B68" s="605"/>
      <c r="C68" s="605"/>
      <c r="D68" s="605"/>
      <c r="E68" s="605"/>
      <c r="F68" s="605"/>
      <c r="G68" s="605"/>
      <c r="H68" s="605"/>
      <c r="I68" s="605"/>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3" s="26" customFormat="1" ht="12.75">
      <c r="A69" s="46"/>
      <c r="B69" s="45"/>
      <c r="C69" s="50"/>
    </row>
    <row r="70" spans="1:3" s="26" customFormat="1" ht="15">
      <c r="A70" s="43"/>
      <c r="B70" s="43"/>
      <c r="C70" s="50"/>
    </row>
    <row r="71" spans="1:3" s="26" customFormat="1" ht="15">
      <c r="A71" s="43"/>
      <c r="B71" s="44"/>
      <c r="C71" s="87"/>
    </row>
    <row r="72" spans="1:3" s="26" customFormat="1" ht="15">
      <c r="A72" s="48"/>
      <c r="B72" s="49"/>
      <c r="C72" s="149"/>
    </row>
    <row r="73" spans="1:3" s="26" customFormat="1" ht="15">
      <c r="A73" s="48"/>
      <c r="B73" s="49"/>
      <c r="C73" s="150"/>
    </row>
    <row r="74" spans="1:2" s="26" customFormat="1" ht="15">
      <c r="A74" s="43"/>
      <c r="B74" s="43"/>
    </row>
    <row r="75" spans="1:3" s="26" customFormat="1" ht="14.25">
      <c r="A75" s="573"/>
      <c r="B75" s="573"/>
      <c r="C75" s="87"/>
    </row>
    <row r="76" spans="1:3" s="26" customFormat="1" ht="12.75">
      <c r="A76" s="151"/>
      <c r="C76" s="152"/>
    </row>
    <row r="77" s="26" customFormat="1" ht="12.75"/>
    <row r="78" s="26" customFormat="1" ht="12.75"/>
  </sheetData>
  <sheetProtection/>
  <mergeCells count="21">
    <mergeCell ref="A1:D1"/>
    <mergeCell ref="G1:J5"/>
    <mergeCell ref="A2:D2"/>
    <mergeCell ref="A4:D4"/>
    <mergeCell ref="C6:D6"/>
    <mergeCell ref="A68:I68"/>
    <mergeCell ref="J26:J27"/>
    <mergeCell ref="A75:B75"/>
    <mergeCell ref="J17:J18"/>
    <mergeCell ref="A67:I67"/>
    <mergeCell ref="G26:G27"/>
    <mergeCell ref="I26:I27"/>
    <mergeCell ref="A66:I66"/>
    <mergeCell ref="L17:L18"/>
    <mergeCell ref="A26:A27"/>
    <mergeCell ref="B26:B27"/>
    <mergeCell ref="C26:C27"/>
    <mergeCell ref="D26:D27"/>
    <mergeCell ref="H26:H27"/>
    <mergeCell ref="F26:F27"/>
    <mergeCell ref="E26:E27"/>
  </mergeCells>
  <printOptions/>
  <pageMargins left="0" right="0" top="0.7480314960629921" bottom="0.7480314960629921" header="0.31496062992125984" footer="0.31496062992125984"/>
  <pageSetup fitToHeight="1" fitToWidth="1" horizontalDpi="600" verticalDpi="600" orientation="portrait" paperSize="9" scale="51" r:id="rId1"/>
</worksheet>
</file>

<file path=xl/worksheets/sheet13.xml><?xml version="1.0" encoding="utf-8"?>
<worksheet xmlns="http://schemas.openxmlformats.org/spreadsheetml/2006/main" xmlns:r="http://schemas.openxmlformats.org/officeDocument/2006/relationships">
  <sheetPr>
    <pageSetUpPr fitToPage="1"/>
  </sheetPr>
  <dimension ref="A1:GN77"/>
  <sheetViews>
    <sheetView showGridLines="0" tabSelected="1" zoomScalePageLayoutView="0" workbookViewId="0" topLeftCell="A23">
      <selection activeCell="A47" sqref="A47"/>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9.421875" style="0" customWidth="1"/>
    <col min="13" max="13" width="12.00390625" style="0" customWidth="1"/>
    <col min="14" max="14" width="13.421875" style="508" customWidth="1"/>
    <col min="15" max="15" width="8.57421875" style="0" customWidth="1"/>
    <col min="16" max="16" width="15.57421875" style="0" customWidth="1"/>
    <col min="17" max="17" width="14.00390625" style="0" customWidth="1"/>
    <col min="18" max="18" width="9.57421875" style="0" bestFit="1" customWidth="1"/>
    <col min="23" max="27" width="12.7109375" style="0" bestFit="1" customWidth="1"/>
    <col min="28" max="28" width="14.140625" style="0" bestFit="1" customWidth="1"/>
  </cols>
  <sheetData>
    <row r="1" spans="1:10" ht="23.25" customHeight="1">
      <c r="A1" s="606" t="s">
        <v>20</v>
      </c>
      <c r="B1" s="606"/>
      <c r="C1" s="606"/>
      <c r="D1" s="606"/>
      <c r="E1" s="168"/>
      <c r="F1" s="613" t="s">
        <v>144</v>
      </c>
      <c r="G1" s="613"/>
      <c r="H1" s="613"/>
      <c r="I1" s="428"/>
      <c r="J1" s="428"/>
    </row>
    <row r="2" spans="1:10" ht="12.75" customHeight="1">
      <c r="A2" s="608" t="s">
        <v>184</v>
      </c>
      <c r="B2" s="608"/>
      <c r="C2" s="608"/>
      <c r="D2" s="608"/>
      <c r="E2" s="168"/>
      <c r="F2" s="168"/>
      <c r="G2" s="428"/>
      <c r="H2" s="430"/>
      <c r="I2" s="430"/>
      <c r="J2" s="430"/>
    </row>
    <row r="3" spans="1:10" ht="12.75" customHeight="1">
      <c r="A3" s="298"/>
      <c r="B3" s="298"/>
      <c r="C3" s="298"/>
      <c r="D3" s="298"/>
      <c r="E3" s="168"/>
      <c r="F3" s="168"/>
      <c r="G3" s="428"/>
      <c r="H3" s="614"/>
      <c r="I3" s="615"/>
      <c r="J3" s="430"/>
    </row>
    <row r="4" spans="1:10" ht="12.75" customHeight="1">
      <c r="A4" s="609"/>
      <c r="B4" s="609"/>
      <c r="C4" s="609"/>
      <c r="D4" s="609"/>
      <c r="E4" s="168"/>
      <c r="F4" s="168"/>
      <c r="G4" s="428"/>
      <c r="H4" s="615"/>
      <c r="I4" s="615"/>
      <c r="J4" s="428"/>
    </row>
    <row r="5" spans="1:10" ht="22.5" customHeight="1" thickBot="1">
      <c r="A5" s="299"/>
      <c r="B5" s="299"/>
      <c r="C5" s="616"/>
      <c r="D5" s="616"/>
      <c r="E5" s="168"/>
      <c r="F5" s="168"/>
      <c r="G5" s="428"/>
      <c r="H5" s="428"/>
      <c r="I5" s="428"/>
      <c r="J5" s="428"/>
    </row>
    <row r="6" spans="1:10" ht="37.5" customHeight="1" thickBot="1">
      <c r="A6" s="300" t="s">
        <v>0</v>
      </c>
      <c r="B6" s="301" t="s">
        <v>1</v>
      </c>
      <c r="C6" s="610" t="s">
        <v>185</v>
      </c>
      <c r="D6" s="611"/>
      <c r="E6" s="168"/>
      <c r="F6" s="28"/>
      <c r="G6" s="168"/>
      <c r="H6" s="168"/>
      <c r="I6" s="168"/>
      <c r="J6" s="302"/>
    </row>
    <row r="7" spans="1:10" ht="19.5" customHeight="1">
      <c r="A7" s="303" t="s">
        <v>2</v>
      </c>
      <c r="B7" s="304" t="s">
        <v>3</v>
      </c>
      <c r="C7" s="167">
        <v>64730</v>
      </c>
      <c r="D7" s="306">
        <v>1</v>
      </c>
      <c r="F7" s="169"/>
      <c r="G7" s="168"/>
      <c r="H7" s="168"/>
      <c r="I7" s="168"/>
      <c r="J7" s="168"/>
    </row>
    <row r="8" spans="1:14" s="6" customFormat="1" ht="21" customHeight="1">
      <c r="A8" s="307" t="s">
        <v>4</v>
      </c>
      <c r="B8" s="148" t="s">
        <v>3</v>
      </c>
      <c r="C8" s="120">
        <v>15068</v>
      </c>
      <c r="D8" s="308">
        <v>0.2327823265873629</v>
      </c>
      <c r="E8" s="169"/>
      <c r="F8" s="553"/>
      <c r="G8" s="433"/>
      <c r="H8" s="412"/>
      <c r="I8" s="309"/>
      <c r="J8" s="310"/>
      <c r="M8" s="6" t="s">
        <v>176</v>
      </c>
      <c r="N8" s="512"/>
    </row>
    <row r="9" spans="1:14" s="6" customFormat="1" ht="21" customHeight="1">
      <c r="A9" s="307" t="s">
        <v>145</v>
      </c>
      <c r="B9" s="148" t="s">
        <v>3</v>
      </c>
      <c r="C9" s="120">
        <v>3459</v>
      </c>
      <c r="D9" s="308">
        <v>0.05343735516761934</v>
      </c>
      <c r="E9" s="169"/>
      <c r="F9" s="437"/>
      <c r="G9" s="519"/>
      <c r="H9" s="412"/>
      <c r="I9" s="309"/>
      <c r="J9" s="310"/>
      <c r="N9" s="512"/>
    </row>
    <row r="10" spans="1:28" s="6" customFormat="1" ht="21" customHeight="1">
      <c r="A10" s="307" t="s">
        <v>10</v>
      </c>
      <c r="B10" s="148" t="s">
        <v>3</v>
      </c>
      <c r="C10" s="120">
        <v>6051</v>
      </c>
      <c r="D10" s="308">
        <v>0.0934806117719759</v>
      </c>
      <c r="E10" s="169"/>
      <c r="F10" s="437"/>
      <c r="G10" s="519"/>
      <c r="H10" s="309"/>
      <c r="I10" s="309"/>
      <c r="J10" s="309"/>
      <c r="N10" s="512"/>
      <c r="W10" s="567"/>
      <c r="X10" s="567"/>
      <c r="Y10" s="567"/>
      <c r="Z10" s="567"/>
      <c r="AA10" s="567"/>
      <c r="AB10" s="567"/>
    </row>
    <row r="11" spans="1:28" s="6" customFormat="1" ht="21" customHeight="1">
      <c r="A11" s="307" t="s">
        <v>5</v>
      </c>
      <c r="B11" s="148" t="s">
        <v>3</v>
      </c>
      <c r="C11" s="120">
        <v>33627</v>
      </c>
      <c r="D11" s="308">
        <v>0.5194963695349915</v>
      </c>
      <c r="E11" s="169"/>
      <c r="F11" s="437"/>
      <c r="G11" s="521"/>
      <c r="H11" s="523"/>
      <c r="I11" s="309"/>
      <c r="J11" s="309"/>
      <c r="N11" s="512"/>
      <c r="W11" s="567"/>
      <c r="X11" s="567"/>
      <c r="Y11" s="567"/>
      <c r="Z11" s="567"/>
      <c r="AA11" s="567"/>
      <c r="AB11" s="567"/>
    </row>
    <row r="12" spans="1:28" s="6" customFormat="1" ht="21" customHeight="1" thickBot="1">
      <c r="A12" s="520" t="s">
        <v>120</v>
      </c>
      <c r="B12" s="337" t="s">
        <v>3</v>
      </c>
      <c r="C12" s="421">
        <v>6525</v>
      </c>
      <c r="D12" s="317">
        <v>0.10080333693805037</v>
      </c>
      <c r="E12" s="169"/>
      <c r="F12" s="570"/>
      <c r="G12" s="519"/>
      <c r="H12" s="522"/>
      <c r="I12" s="309"/>
      <c r="J12" s="309"/>
      <c r="N12" s="512"/>
      <c r="W12" s="567"/>
      <c r="X12" s="567"/>
      <c r="Y12" s="567"/>
      <c r="Z12" s="567"/>
      <c r="AA12" s="567"/>
      <c r="AB12" s="567"/>
    </row>
    <row r="13" spans="1:28" ht="12" customHeight="1">
      <c r="A13" s="170"/>
      <c r="B13" s="170"/>
      <c r="C13" s="170"/>
      <c r="D13" s="168"/>
      <c r="E13" s="168"/>
      <c r="F13" s="321"/>
      <c r="G13" s="395"/>
      <c r="H13" s="395"/>
      <c r="I13" s="395"/>
      <c r="J13" s="395"/>
      <c r="W13" s="568"/>
      <c r="X13" s="568"/>
      <c r="Y13" s="568"/>
      <c r="Z13" s="568"/>
      <c r="AA13" s="568"/>
      <c r="AB13" s="568"/>
    </row>
    <row r="14" spans="1:28" ht="15.75" customHeight="1" thickBot="1">
      <c r="A14" s="456"/>
      <c r="B14" s="351"/>
      <c r="C14" s="457"/>
      <c r="D14" s="168"/>
      <c r="E14" s="168"/>
      <c r="F14" s="325"/>
      <c r="G14" s="325"/>
      <c r="H14" s="325"/>
      <c r="I14" s="326"/>
      <c r="J14" s="395"/>
      <c r="W14" s="568"/>
      <c r="X14" s="568"/>
      <c r="Y14" s="568"/>
      <c r="Z14" s="568"/>
      <c r="AA14" s="568"/>
      <c r="AB14" s="568"/>
    </row>
    <row r="15" spans="1:13" ht="100.5" customHeight="1" thickBot="1">
      <c r="A15" s="300" t="s">
        <v>0</v>
      </c>
      <c r="B15" s="301" t="s">
        <v>1</v>
      </c>
      <c r="C15" s="263" t="s">
        <v>24</v>
      </c>
      <c r="D15" s="263" t="s">
        <v>25</v>
      </c>
      <c r="E15" s="327" t="s">
        <v>41</v>
      </c>
      <c r="F15" s="263" t="s">
        <v>22</v>
      </c>
      <c r="G15" s="297" t="s">
        <v>38</v>
      </c>
      <c r="H15" s="297" t="s">
        <v>39</v>
      </c>
      <c r="I15" s="263" t="s">
        <v>23</v>
      </c>
      <c r="J15" s="463"/>
      <c r="K15" s="405"/>
      <c r="L15" s="405"/>
      <c r="M15" s="26"/>
    </row>
    <row r="16" spans="1:11" ht="16.5" customHeight="1" thickBot="1">
      <c r="A16" s="328">
        <v>1</v>
      </c>
      <c r="B16" s="329">
        <v>2</v>
      </c>
      <c r="C16" s="297">
        <v>3</v>
      </c>
      <c r="D16" s="297">
        <v>4</v>
      </c>
      <c r="E16" s="297">
        <v>5</v>
      </c>
      <c r="F16" s="297">
        <v>6</v>
      </c>
      <c r="G16" s="297">
        <v>7</v>
      </c>
      <c r="H16" s="297">
        <v>8</v>
      </c>
      <c r="I16" s="297">
        <v>9</v>
      </c>
      <c r="J16" s="617"/>
      <c r="K16" s="618"/>
    </row>
    <row r="17" spans="1:15" s="108" customFormat="1" ht="19.5" customHeight="1">
      <c r="A17" s="330" t="s">
        <v>33</v>
      </c>
      <c r="B17" s="304" t="s">
        <v>9</v>
      </c>
      <c r="C17" s="260">
        <v>258021.74</v>
      </c>
      <c r="D17" s="260">
        <v>103489</v>
      </c>
      <c r="E17" s="260">
        <v>53620</v>
      </c>
      <c r="F17" s="260">
        <v>31993</v>
      </c>
      <c r="G17" s="260">
        <v>29274.739999999998</v>
      </c>
      <c r="H17" s="260">
        <v>39645</v>
      </c>
      <c r="I17" s="527">
        <v>247820.09999999998</v>
      </c>
      <c r="J17" s="617"/>
      <c r="K17" s="618"/>
      <c r="L17" s="514"/>
      <c r="M17" s="503"/>
      <c r="N17" s="532"/>
      <c r="O17" s="551"/>
    </row>
    <row r="18" spans="1:19" s="114" customFormat="1" ht="21" customHeight="1">
      <c r="A18" s="307" t="s">
        <v>4</v>
      </c>
      <c r="B18" s="148" t="s">
        <v>9</v>
      </c>
      <c r="C18" s="112">
        <v>70848.04000000001</v>
      </c>
      <c r="D18" s="112">
        <v>27122</v>
      </c>
      <c r="E18" s="112">
        <v>12482</v>
      </c>
      <c r="F18" s="112">
        <v>7447</v>
      </c>
      <c r="G18" s="112">
        <v>4219.04</v>
      </c>
      <c r="H18" s="112">
        <v>19578</v>
      </c>
      <c r="I18" s="528">
        <v>66270.75999999998</v>
      </c>
      <c r="J18" s="561"/>
      <c r="K18" s="552"/>
      <c r="L18" s="560"/>
      <c r="M18" s="498"/>
      <c r="N18" s="499"/>
      <c r="O18" s="619"/>
      <c r="P18" s="619"/>
      <c r="R18" s="107"/>
      <c r="S18" s="504"/>
    </row>
    <row r="19" spans="1:19" s="114" customFormat="1" ht="21" customHeight="1">
      <c r="A19" s="307" t="s">
        <v>145</v>
      </c>
      <c r="B19" s="148" t="s">
        <v>9</v>
      </c>
      <c r="C19" s="112">
        <v>7376.9</v>
      </c>
      <c r="D19" s="112">
        <v>2456</v>
      </c>
      <c r="E19" s="112">
        <v>2865</v>
      </c>
      <c r="F19" s="112">
        <v>1710</v>
      </c>
      <c r="G19" s="112">
        <v>345.90000000000003</v>
      </c>
      <c r="H19" s="112">
        <v>0</v>
      </c>
      <c r="I19" s="528">
        <v>4176.16</v>
      </c>
      <c r="J19" s="561"/>
      <c r="K19" s="552"/>
      <c r="L19" s="560"/>
      <c r="M19" s="498"/>
      <c r="N19" s="620"/>
      <c r="O19" s="620"/>
      <c r="P19" s="620"/>
      <c r="R19" s="107"/>
      <c r="S19" s="504"/>
    </row>
    <row r="20" spans="1:19" s="114" customFormat="1" ht="21" customHeight="1">
      <c r="A20" s="307" t="s">
        <v>10</v>
      </c>
      <c r="B20" s="148" t="s">
        <v>9</v>
      </c>
      <c r="C20" s="112">
        <v>47042.75</v>
      </c>
      <c r="D20" s="112">
        <v>10347</v>
      </c>
      <c r="E20" s="112">
        <v>5012</v>
      </c>
      <c r="F20" s="112">
        <v>2991</v>
      </c>
      <c r="G20" s="112">
        <v>19665.75</v>
      </c>
      <c r="H20" s="112">
        <v>9027</v>
      </c>
      <c r="I20" s="528">
        <v>105442.44999999998</v>
      </c>
      <c r="J20" s="464"/>
      <c r="K20" s="552"/>
      <c r="L20" s="560"/>
      <c r="M20" s="498"/>
      <c r="N20" s="499"/>
      <c r="O20" s="621"/>
      <c r="P20" s="621"/>
      <c r="R20" s="107"/>
      <c r="S20" s="504"/>
    </row>
    <row r="21" spans="1:19" s="114" customFormat="1" ht="21" customHeight="1">
      <c r="A21" s="307" t="s">
        <v>5</v>
      </c>
      <c r="B21" s="148" t="s">
        <v>9</v>
      </c>
      <c r="C21" s="112">
        <v>100912.05</v>
      </c>
      <c r="D21" s="112">
        <v>40352</v>
      </c>
      <c r="E21" s="112">
        <v>27856</v>
      </c>
      <c r="F21" s="112">
        <v>16620</v>
      </c>
      <c r="G21" s="112">
        <v>5044.05</v>
      </c>
      <c r="H21" s="112">
        <v>11040</v>
      </c>
      <c r="I21" s="528">
        <v>71930.73</v>
      </c>
      <c r="J21" s="464"/>
      <c r="K21" s="552"/>
      <c r="L21" s="560"/>
      <c r="M21" s="498"/>
      <c r="N21" s="499"/>
      <c r="O21" s="513"/>
      <c r="P21" s="499"/>
      <c r="R21" s="107"/>
      <c r="S21" s="504"/>
    </row>
    <row r="22" spans="1:19" s="108" customFormat="1" ht="16.5" customHeight="1" thickBot="1">
      <c r="A22" s="520" t="s">
        <v>120</v>
      </c>
      <c r="B22" s="337" t="s">
        <v>9</v>
      </c>
      <c r="C22" s="124">
        <v>31842</v>
      </c>
      <c r="D22" s="124">
        <v>23212</v>
      </c>
      <c r="E22" s="124">
        <v>5405</v>
      </c>
      <c r="F22" s="124">
        <v>3225</v>
      </c>
      <c r="G22" s="124"/>
      <c r="H22" s="124"/>
      <c r="I22" s="529"/>
      <c r="J22" s="442"/>
      <c r="K22" s="552"/>
      <c r="L22" s="505"/>
      <c r="N22" s="532"/>
      <c r="R22" s="503"/>
      <c r="S22" s="505"/>
    </row>
    <row r="23" spans="1:11" ht="14.25" customHeight="1" thickBot="1">
      <c r="A23" s="338"/>
      <c r="B23" s="182"/>
      <c r="C23" s="261"/>
      <c r="D23" s="168"/>
      <c r="E23" s="168"/>
      <c r="F23" s="262"/>
      <c r="G23" s="168"/>
      <c r="H23" s="168"/>
      <c r="I23" s="170"/>
      <c r="J23" s="309"/>
      <c r="K23" s="562"/>
    </row>
    <row r="24" spans="1:12" ht="44.25" customHeight="1">
      <c r="A24" s="600" t="s">
        <v>0</v>
      </c>
      <c r="B24" s="602" t="s">
        <v>1</v>
      </c>
      <c r="C24" s="593" t="s">
        <v>45</v>
      </c>
      <c r="D24" s="593" t="s">
        <v>67</v>
      </c>
      <c r="E24" s="593" t="s">
        <v>26</v>
      </c>
      <c r="F24" s="593" t="s">
        <v>40</v>
      </c>
      <c r="G24" s="593" t="s">
        <v>27</v>
      </c>
      <c r="H24" s="593" t="s">
        <v>28</v>
      </c>
      <c r="I24" s="593" t="s">
        <v>37</v>
      </c>
      <c r="J24" s="576" t="s">
        <v>29</v>
      </c>
      <c r="L24" s="28"/>
    </row>
    <row r="25" spans="1:17" ht="87.75" customHeight="1" thickBot="1">
      <c r="A25" s="601"/>
      <c r="B25" s="603"/>
      <c r="C25" s="594"/>
      <c r="D25" s="594"/>
      <c r="E25" s="594"/>
      <c r="F25" s="594"/>
      <c r="G25" s="594"/>
      <c r="H25" s="594"/>
      <c r="I25" s="594"/>
      <c r="J25" s="577"/>
      <c r="K25" s="597"/>
      <c r="M25" s="622"/>
      <c r="N25" s="624"/>
      <c r="P25" s="622"/>
      <c r="Q25" s="622"/>
    </row>
    <row r="26" spans="1:17" ht="16.5" customHeight="1" thickBot="1">
      <c r="A26" s="340">
        <v>1</v>
      </c>
      <c r="B26" s="301">
        <v>2</v>
      </c>
      <c r="C26" s="263">
        <v>3</v>
      </c>
      <c r="D26" s="263">
        <v>4</v>
      </c>
      <c r="E26" s="263">
        <v>5</v>
      </c>
      <c r="F26" s="263">
        <v>6</v>
      </c>
      <c r="G26" s="263">
        <v>7</v>
      </c>
      <c r="H26" s="263">
        <v>8</v>
      </c>
      <c r="I26" s="263">
        <v>9</v>
      </c>
      <c r="J26" s="263">
        <v>9</v>
      </c>
      <c r="K26" s="597"/>
      <c r="L26" s="220"/>
      <c r="M26" s="623"/>
      <c r="N26" s="624"/>
      <c r="O26" s="538"/>
      <c r="P26" s="622"/>
      <c r="Q26" s="622"/>
    </row>
    <row r="27" spans="1:15" ht="16.5" customHeight="1">
      <c r="A27" s="341" t="s">
        <v>34</v>
      </c>
      <c r="B27" s="329"/>
      <c r="C27" s="297"/>
      <c r="D27" s="297"/>
      <c r="E27" s="297"/>
      <c r="F27" s="297"/>
      <c r="G27" s="297"/>
      <c r="H27" s="297"/>
      <c r="I27" s="297"/>
      <c r="J27" s="297"/>
      <c r="K27" s="220"/>
      <c r="L27" s="471"/>
      <c r="M27" s="471"/>
      <c r="N27" s="539"/>
      <c r="O27" s="84"/>
    </row>
    <row r="28" spans="1:17" s="6" customFormat="1" ht="12" customHeight="1">
      <c r="A28" s="344" t="s">
        <v>35</v>
      </c>
      <c r="B28" s="319" t="s">
        <v>11</v>
      </c>
      <c r="C28" s="81">
        <v>9.100000000000001</v>
      </c>
      <c r="D28" s="81">
        <v>4.7</v>
      </c>
      <c r="E28" s="81">
        <v>1.8</v>
      </c>
      <c r="F28" s="81">
        <v>0.83</v>
      </c>
      <c r="G28" s="81">
        <v>0.49</v>
      </c>
      <c r="H28" s="81">
        <v>0.28</v>
      </c>
      <c r="I28" s="81">
        <v>1.3</v>
      </c>
      <c r="J28" s="81">
        <v>4.4</v>
      </c>
      <c r="K28" s="542"/>
      <c r="L28" s="537"/>
      <c r="M28" s="541"/>
      <c r="N28" s="540"/>
      <c r="Q28" s="541"/>
    </row>
    <row r="29" spans="1:17" s="6" customFormat="1" ht="12" customHeight="1">
      <c r="A29" s="344" t="s">
        <v>146</v>
      </c>
      <c r="B29" s="319" t="s">
        <v>11</v>
      </c>
      <c r="C29" s="81">
        <v>3.3400000000000003</v>
      </c>
      <c r="D29" s="81">
        <v>2.1300000000000003</v>
      </c>
      <c r="E29" s="81">
        <v>0.71</v>
      </c>
      <c r="F29" s="81">
        <v>0.83</v>
      </c>
      <c r="G29" s="81">
        <v>0.49</v>
      </c>
      <c r="H29" s="81">
        <v>0.1</v>
      </c>
      <c r="I29" s="81">
        <v>0</v>
      </c>
      <c r="J29" s="81">
        <v>1.21</v>
      </c>
      <c r="K29" s="530"/>
      <c r="L29" s="537"/>
      <c r="M29" s="541"/>
      <c r="N29" s="530"/>
      <c r="P29" s="541"/>
      <c r="Q29" s="541"/>
    </row>
    <row r="30" spans="1:17" s="6" customFormat="1" ht="12" customHeight="1">
      <c r="A30" s="347" t="s">
        <v>36</v>
      </c>
      <c r="B30" s="319" t="s">
        <v>11</v>
      </c>
      <c r="C30" s="33">
        <v>25.2</v>
      </c>
      <c r="D30" s="81">
        <v>7.7700000000000005</v>
      </c>
      <c r="E30" s="81">
        <v>1.71</v>
      </c>
      <c r="F30" s="81">
        <v>0.83</v>
      </c>
      <c r="G30" s="81">
        <v>0.49</v>
      </c>
      <c r="H30" s="81">
        <v>3.25</v>
      </c>
      <c r="I30" s="81">
        <v>1.49</v>
      </c>
      <c r="J30" s="81">
        <v>17.43</v>
      </c>
      <c r="K30" s="530"/>
      <c r="L30" s="537"/>
      <c r="M30" s="541"/>
      <c r="N30" s="530"/>
      <c r="O30" s="549"/>
      <c r="P30" s="541"/>
      <c r="Q30" s="541"/>
    </row>
    <row r="31" spans="1:17" s="6" customFormat="1" ht="12" customHeight="1">
      <c r="A31" s="347" t="s">
        <v>5</v>
      </c>
      <c r="B31" s="319" t="s">
        <v>11</v>
      </c>
      <c r="C31" s="33">
        <v>5.14</v>
      </c>
      <c r="D31" s="81">
        <v>2.9999999999999996</v>
      </c>
      <c r="E31" s="81">
        <v>1.2</v>
      </c>
      <c r="F31" s="81">
        <v>0.83</v>
      </c>
      <c r="G31" s="81">
        <v>0.49</v>
      </c>
      <c r="H31" s="81">
        <v>0.15</v>
      </c>
      <c r="I31" s="81">
        <v>0.33</v>
      </c>
      <c r="J31" s="81">
        <v>2.14</v>
      </c>
      <c r="K31" s="530"/>
      <c r="L31" s="537"/>
      <c r="M31" s="541"/>
      <c r="N31" s="550"/>
      <c r="O31" s="550"/>
      <c r="P31" s="541"/>
      <c r="Q31" s="541"/>
    </row>
    <row r="32" spans="1:17" s="6" customFormat="1" ht="12" customHeight="1" thickBot="1">
      <c r="A32" s="349" t="s">
        <v>120</v>
      </c>
      <c r="B32" s="193" t="s">
        <v>11</v>
      </c>
      <c r="C32" s="268">
        <v>4.88</v>
      </c>
      <c r="D32" s="82">
        <v>4.88</v>
      </c>
      <c r="E32" s="82">
        <v>3.56</v>
      </c>
      <c r="F32" s="82">
        <v>0.83</v>
      </c>
      <c r="G32" s="82">
        <v>0.49</v>
      </c>
      <c r="H32" s="269"/>
      <c r="I32" s="268"/>
      <c r="J32" s="268"/>
      <c r="K32" s="530"/>
      <c r="L32" s="537"/>
      <c r="M32" s="541"/>
      <c r="N32" s="531"/>
      <c r="O32" s="541"/>
      <c r="P32" s="541"/>
      <c r="Q32" s="541"/>
    </row>
    <row r="33" spans="1:16" ht="14.25" customHeight="1" thickBot="1">
      <c r="A33" s="350"/>
      <c r="B33" s="351"/>
      <c r="C33" s="270"/>
      <c r="D33" s="439"/>
      <c r="E33" s="389"/>
      <c r="F33" s="389"/>
      <c r="G33" s="389"/>
      <c r="H33" s="389"/>
      <c r="I33" s="389"/>
      <c r="J33" s="389"/>
      <c r="K33" s="565"/>
      <c r="L33" s="565"/>
      <c r="M33" s="566"/>
      <c r="N33" s="531"/>
      <c r="P33" s="540"/>
    </row>
    <row r="34" spans="1:15" ht="19.5" customHeight="1">
      <c r="A34" s="352" t="s">
        <v>12</v>
      </c>
      <c r="B34" s="353" t="s">
        <v>9</v>
      </c>
      <c r="C34" s="271">
        <v>258021.74</v>
      </c>
      <c r="D34" s="448"/>
      <c r="E34" s="450"/>
      <c r="F34" s="450"/>
      <c r="G34" s="449"/>
      <c r="H34" s="449"/>
      <c r="I34" s="449"/>
      <c r="J34" s="449"/>
      <c r="K34" s="28"/>
      <c r="L34" s="220"/>
      <c r="M34" s="563"/>
      <c r="O34" s="569"/>
    </row>
    <row r="35" spans="1:14" ht="16.5" customHeight="1">
      <c r="A35" s="307" t="s">
        <v>18</v>
      </c>
      <c r="B35" s="148" t="s">
        <v>9</v>
      </c>
      <c r="C35" s="120">
        <v>103489</v>
      </c>
      <c r="D35" s="380"/>
      <c r="E35" s="449"/>
      <c r="F35" s="450"/>
      <c r="G35" s="449"/>
      <c r="H35" s="449"/>
      <c r="I35" s="449"/>
      <c r="J35" s="449"/>
      <c r="K35" s="440"/>
      <c r="L35" s="220"/>
      <c r="M35" s="564"/>
      <c r="N35" s="531"/>
    </row>
    <row r="36" spans="1:15" ht="15.75" customHeight="1">
      <c r="A36" s="318" t="s">
        <v>136</v>
      </c>
      <c r="B36" s="319" t="s">
        <v>9</v>
      </c>
      <c r="C36" s="275">
        <v>103489</v>
      </c>
      <c r="D36" s="525"/>
      <c r="E36" s="220"/>
      <c r="F36" s="220"/>
      <c r="G36" s="449"/>
      <c r="H36" s="492"/>
      <c r="I36" s="440"/>
      <c r="J36" s="395"/>
      <c r="L36" s="220"/>
      <c r="M36" s="564"/>
      <c r="O36" s="569"/>
    </row>
    <row r="37" spans="1:17" ht="18" customHeight="1">
      <c r="A37" s="355" t="s">
        <v>13</v>
      </c>
      <c r="B37" s="319" t="s">
        <v>9</v>
      </c>
      <c r="C37" s="356">
        <v>31993</v>
      </c>
      <c r="D37" s="382"/>
      <c r="E37" s="452"/>
      <c r="F37" s="452"/>
      <c r="G37" s="453"/>
      <c r="H37" s="453"/>
      <c r="J37" s="452"/>
      <c r="K37" s="508"/>
      <c r="M37" s="563"/>
      <c r="N37" s="555"/>
      <c r="Q37" s="563"/>
    </row>
    <row r="38" spans="1:13" ht="15" customHeight="1">
      <c r="A38" s="357" t="s">
        <v>31</v>
      </c>
      <c r="B38" s="319" t="s">
        <v>9</v>
      </c>
      <c r="C38" s="358">
        <v>31993</v>
      </c>
      <c r="D38" s="525"/>
      <c r="E38" s="455"/>
      <c r="F38" s="452"/>
      <c r="G38" s="453"/>
      <c r="H38" s="492"/>
      <c r="I38" s="440"/>
      <c r="J38" s="452"/>
      <c r="M38" s="563"/>
    </row>
    <row r="39" spans="1:13" ht="14.25" customHeight="1">
      <c r="A39" s="355" t="s">
        <v>15</v>
      </c>
      <c r="B39" s="319" t="s">
        <v>9</v>
      </c>
      <c r="C39" s="356">
        <v>53620</v>
      </c>
      <c r="D39" s="382"/>
      <c r="E39" s="491"/>
      <c r="F39" s="472"/>
      <c r="G39" s="473"/>
      <c r="H39" s="493"/>
      <c r="J39" s="469"/>
      <c r="L39" s="471"/>
      <c r="M39" s="563"/>
    </row>
    <row r="40" spans="1:17" ht="13.5" customHeight="1">
      <c r="A40" s="318" t="s">
        <v>42</v>
      </c>
      <c r="B40" s="319" t="s">
        <v>9</v>
      </c>
      <c r="C40" s="275">
        <v>53620</v>
      </c>
      <c r="D40" s="525"/>
      <c r="E40" s="491"/>
      <c r="F40" s="472"/>
      <c r="G40" s="475"/>
      <c r="H40" s="492"/>
      <c r="I40" s="458"/>
      <c r="J40" s="469"/>
      <c r="K40" s="563"/>
      <c r="L40" s="471"/>
      <c r="M40" s="563"/>
      <c r="Q40" s="563"/>
    </row>
    <row r="41" spans="1:12" ht="16.5" customHeight="1">
      <c r="A41" s="355" t="s">
        <v>16</v>
      </c>
      <c r="B41" s="319" t="s">
        <v>9</v>
      </c>
      <c r="C41" s="356">
        <v>68919.73999999999</v>
      </c>
      <c r="D41" s="382"/>
      <c r="E41" s="475"/>
      <c r="F41" s="477"/>
      <c r="G41" s="478"/>
      <c r="H41" s="475"/>
      <c r="I41" s="458"/>
      <c r="J41" s="480"/>
      <c r="L41" s="471"/>
    </row>
    <row r="42" spans="1:15" ht="15" customHeight="1">
      <c r="A42" s="361" t="s">
        <v>4</v>
      </c>
      <c r="B42" s="319" t="s">
        <v>9</v>
      </c>
      <c r="C42" s="275">
        <v>24142.94</v>
      </c>
      <c r="D42" s="381"/>
      <c r="E42" s="475"/>
      <c r="F42" s="477"/>
      <c r="G42" s="478"/>
      <c r="H42" s="475"/>
      <c r="I42" s="479"/>
      <c r="J42" s="480"/>
      <c r="K42" s="28"/>
      <c r="L42" s="28"/>
      <c r="M42" s="28"/>
      <c r="O42" s="508"/>
    </row>
    <row r="43" spans="1:14" s="6" customFormat="1" ht="13.5" customHeight="1">
      <c r="A43" s="361" t="s">
        <v>5</v>
      </c>
      <c r="B43" s="319" t="s">
        <v>9</v>
      </c>
      <c r="C43" s="275">
        <v>16084.05</v>
      </c>
      <c r="D43" s="386"/>
      <c r="F43" s="477"/>
      <c r="G43" s="478"/>
      <c r="H43" s="475"/>
      <c r="I43" s="479"/>
      <c r="J43" s="480"/>
      <c r="K43" s="507"/>
      <c r="L43" s="481"/>
      <c r="M43" s="27"/>
      <c r="N43" s="512"/>
    </row>
    <row r="44" spans="1:14" s="6" customFormat="1" ht="14.25" customHeight="1" thickBot="1">
      <c r="A44" s="363" t="s">
        <v>10</v>
      </c>
      <c r="B44" s="193" t="s">
        <v>9</v>
      </c>
      <c r="C44" s="364">
        <v>28692.75</v>
      </c>
      <c r="D44" s="183"/>
      <c r="E44" s="475"/>
      <c r="F44" s="477"/>
      <c r="G44" s="494"/>
      <c r="H44" s="475"/>
      <c r="I44" s="479"/>
      <c r="J44" s="480"/>
      <c r="K44" s="507"/>
      <c r="L44" s="481"/>
      <c r="N44" s="512"/>
    </row>
    <row r="45" spans="1:14" s="6" customFormat="1" ht="12" customHeight="1" thickBot="1">
      <c r="A45" s="351"/>
      <c r="B45" s="182"/>
      <c r="C45" s="183"/>
      <c r="D45" s="183"/>
      <c r="E45" s="475"/>
      <c r="F45" s="477"/>
      <c r="G45" s="494"/>
      <c r="H45" s="475"/>
      <c r="I45" s="477"/>
      <c r="J45" s="482"/>
      <c r="K45" s="481"/>
      <c r="L45" s="481"/>
      <c r="M45" s="27"/>
      <c r="N45" s="512"/>
    </row>
    <row r="46" spans="1:14" s="6" customFormat="1" ht="19.5" customHeight="1">
      <c r="A46" s="165" t="s">
        <v>124</v>
      </c>
      <c r="B46" s="166"/>
      <c r="C46" s="167"/>
      <c r="D46" s="183"/>
      <c r="E46" s="483"/>
      <c r="F46" s="526"/>
      <c r="G46" s="495"/>
      <c r="H46" s="485"/>
      <c r="I46" s="484"/>
      <c r="J46" s="482"/>
      <c r="K46" s="481"/>
      <c r="L46" s="481"/>
      <c r="N46" s="512"/>
    </row>
    <row r="47" spans="1:14" s="6" customFormat="1" ht="27.75" customHeight="1">
      <c r="A47" s="147" t="s">
        <v>197</v>
      </c>
      <c r="B47" s="171" t="s">
        <v>9</v>
      </c>
      <c r="C47" s="172">
        <v>42364</v>
      </c>
      <c r="D47" s="183"/>
      <c r="E47" s="446"/>
      <c r="F47" s="543"/>
      <c r="G47" s="488"/>
      <c r="H47" s="489"/>
      <c r="I47" s="490"/>
      <c r="J47" s="482"/>
      <c r="K47" s="481"/>
      <c r="L47" s="481"/>
      <c r="N47" s="512"/>
    </row>
    <row r="48" spans="1:14" s="6" customFormat="1" ht="28.5" customHeight="1">
      <c r="A48" s="147" t="s">
        <v>56</v>
      </c>
      <c r="B48" s="148" t="s">
        <v>9</v>
      </c>
      <c r="C48" s="116">
        <v>17689</v>
      </c>
      <c r="D48" s="384"/>
      <c r="E48" s="446"/>
      <c r="F48" s="543"/>
      <c r="G48" s="445"/>
      <c r="H48" s="447"/>
      <c r="I48" s="443"/>
      <c r="J48" s="443"/>
      <c r="K48" s="481"/>
      <c r="L48" s="481"/>
      <c r="N48" s="512"/>
    </row>
    <row r="49" spans="1:14" s="6" customFormat="1" ht="28.5" customHeight="1">
      <c r="A49" s="147" t="s">
        <v>126</v>
      </c>
      <c r="B49" s="148" t="s">
        <v>9</v>
      </c>
      <c r="C49" s="116">
        <v>9204</v>
      </c>
      <c r="D49" s="183"/>
      <c r="E49" s="446"/>
      <c r="F49" s="543"/>
      <c r="G49" s="445"/>
      <c r="H49" s="447"/>
      <c r="I49" s="443"/>
      <c r="J49" s="443"/>
      <c r="N49" s="512"/>
    </row>
    <row r="50" spans="1:14" s="6" customFormat="1" ht="25.5">
      <c r="A50" s="175" t="s">
        <v>187</v>
      </c>
      <c r="B50" s="148" t="s">
        <v>9</v>
      </c>
      <c r="C50" s="176">
        <v>26853</v>
      </c>
      <c r="D50" s="384"/>
      <c r="E50" s="544"/>
      <c r="F50" s="545"/>
      <c r="G50" s="433"/>
      <c r="H50" s="365"/>
      <c r="I50" s="309"/>
      <c r="J50" s="309"/>
      <c r="N50" s="512"/>
    </row>
    <row r="51" spans="1:14" s="6" customFormat="1" ht="28.5" customHeight="1">
      <c r="A51" s="175" t="s">
        <v>44</v>
      </c>
      <c r="B51" s="148" t="s">
        <v>9</v>
      </c>
      <c r="C51" s="176">
        <v>1680</v>
      </c>
      <c r="D51" s="366"/>
      <c r="E51" s="546"/>
      <c r="F51" s="545"/>
      <c r="G51" s="548"/>
      <c r="H51" s="365"/>
      <c r="I51" s="309"/>
      <c r="J51" s="309"/>
      <c r="N51" s="512"/>
    </row>
    <row r="52" spans="1:14" s="6" customFormat="1" ht="28.5" customHeight="1" thickBot="1">
      <c r="A52" s="178" t="s">
        <v>53</v>
      </c>
      <c r="B52" s="179"/>
      <c r="C52" s="180">
        <v>45087</v>
      </c>
      <c r="D52" s="384"/>
      <c r="E52" s="544"/>
      <c r="F52" s="545"/>
      <c r="G52" s="433"/>
      <c r="H52" s="365"/>
      <c r="I52" s="309"/>
      <c r="J52" s="309"/>
      <c r="N52" s="512"/>
    </row>
    <row r="53" spans="1:14" s="6" customFormat="1" ht="28.5" customHeight="1" thickBot="1">
      <c r="A53" s="351"/>
      <c r="B53" s="182"/>
      <c r="C53" s="183"/>
      <c r="D53" s="384"/>
      <c r="E53" s="188"/>
      <c r="F53" s="379"/>
      <c r="G53" s="433"/>
      <c r="H53" s="365"/>
      <c r="I53" s="309"/>
      <c r="J53" s="309"/>
      <c r="N53" s="512"/>
    </row>
    <row r="54" spans="1:14" s="6" customFormat="1" ht="21" customHeight="1" thickBot="1">
      <c r="A54" s="196" t="s">
        <v>151</v>
      </c>
      <c r="B54" s="369" t="s">
        <v>9</v>
      </c>
      <c r="C54" s="197">
        <v>15820.099999999977</v>
      </c>
      <c r="D54" s="547"/>
      <c r="E54" s="511"/>
      <c r="F54" s="389"/>
      <c r="G54" s="434"/>
      <c r="H54" s="395"/>
      <c r="I54" s="395"/>
      <c r="J54" s="395"/>
      <c r="N54" s="512"/>
    </row>
    <row r="55" spans="1:14" s="168" customFormat="1" ht="21.75" customHeight="1">
      <c r="A55" s="181"/>
      <c r="B55" s="182"/>
      <c r="C55" s="183"/>
      <c r="D55" s="183"/>
      <c r="E55" s="435"/>
      <c r="F55" s="554"/>
      <c r="G55" s="436"/>
      <c r="H55" s="435"/>
      <c r="I55" s="435"/>
      <c r="J55" s="435"/>
      <c r="N55" s="533"/>
    </row>
    <row r="56" spans="1:14" s="170" customFormat="1" ht="11.25" customHeight="1">
      <c r="A56" s="181"/>
      <c r="B56" s="182"/>
      <c r="C56" s="183"/>
      <c r="D56" s="366"/>
      <c r="E56" s="435"/>
      <c r="F56" s="524"/>
      <c r="G56" s="436"/>
      <c r="H56" s="435"/>
      <c r="I56" s="435"/>
      <c r="J56" s="435"/>
      <c r="N56" s="534"/>
    </row>
    <row r="57" spans="1:14" s="170" customFormat="1" ht="11.25" customHeight="1" thickBot="1">
      <c r="A57" s="43"/>
      <c r="B57" s="43"/>
      <c r="C57" s="43"/>
      <c r="D57" s="427"/>
      <c r="E57" s="427"/>
      <c r="G57" s="427"/>
      <c r="H57" s="467"/>
      <c r="I57" s="427"/>
      <c r="J57" s="427"/>
      <c r="N57" s="534"/>
    </row>
    <row r="58" spans="1:196" s="170" customFormat="1" ht="21.75" customHeight="1" thickBot="1">
      <c r="A58" s="184" t="s">
        <v>128</v>
      </c>
      <c r="B58" s="185" t="s">
        <v>9</v>
      </c>
      <c r="C58" s="186">
        <v>232000</v>
      </c>
      <c r="D58" s="460"/>
      <c r="E58" s="426"/>
      <c r="F58" s="425"/>
      <c r="G58" s="424"/>
      <c r="H58" s="468"/>
      <c r="I58" s="425"/>
      <c r="J58" s="425"/>
      <c r="K58" s="44"/>
      <c r="L58" s="44"/>
      <c r="M58" s="44"/>
      <c r="N58" s="535"/>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row>
    <row r="59" spans="1:14" s="168" customFormat="1" ht="38.25" customHeight="1">
      <c r="A59" s="189" t="s">
        <v>189</v>
      </c>
      <c r="B59" s="190" t="s">
        <v>191</v>
      </c>
      <c r="C59" s="191">
        <v>89000</v>
      </c>
      <c r="D59" s="44"/>
      <c r="E59" s="44"/>
      <c r="F59" s="44"/>
      <c r="G59" s="44"/>
      <c r="H59" s="44"/>
      <c r="I59" s="44"/>
      <c r="J59" s="44"/>
      <c r="N59" s="533"/>
    </row>
    <row r="60" spans="1:196" s="170" customFormat="1" ht="14.25" customHeight="1" thickBot="1">
      <c r="A60" s="192" t="s">
        <v>190</v>
      </c>
      <c r="B60" s="193" t="s">
        <v>191</v>
      </c>
      <c r="C60" s="194">
        <v>143000</v>
      </c>
      <c r="D60" s="431"/>
      <c r="E60" s="431"/>
      <c r="F60" s="44"/>
      <c r="G60" s="467"/>
      <c r="H60" s="44"/>
      <c r="I60" s="44"/>
      <c r="J60" s="44"/>
      <c r="K60" s="44"/>
      <c r="L60" s="44"/>
      <c r="M60" s="44"/>
      <c r="N60" s="535"/>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row>
    <row r="61" spans="1:196" s="170" customFormat="1" ht="14.25" customHeight="1">
      <c r="A61" s="43"/>
      <c r="B61" s="43"/>
      <c r="C61" s="43"/>
      <c r="D61" s="44"/>
      <c r="E61" s="44"/>
      <c r="F61" s="44"/>
      <c r="G61" s="44"/>
      <c r="H61" s="44"/>
      <c r="I61" s="44"/>
      <c r="J61" s="44"/>
      <c r="K61" s="44"/>
      <c r="L61" s="44"/>
      <c r="M61" s="44"/>
      <c r="N61" s="53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96" ht="14.25" customHeight="1">
      <c r="A62" s="625" t="s">
        <v>135</v>
      </c>
      <c r="B62" s="625"/>
      <c r="C62" s="625"/>
      <c r="D62" s="625"/>
      <c r="E62" s="625"/>
      <c r="F62" s="625"/>
      <c r="G62" s="625"/>
      <c r="H62" s="625"/>
      <c r="I62" s="625"/>
      <c r="J62" s="556"/>
      <c r="K62" s="556"/>
      <c r="L62" s="556"/>
      <c r="M62" s="556"/>
      <c r="N62" s="557"/>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c r="BK62" s="556"/>
      <c r="BL62" s="556"/>
      <c r="BM62" s="556"/>
      <c r="BN62" s="556"/>
      <c r="BO62" s="556"/>
      <c r="BP62" s="556"/>
      <c r="BQ62" s="556"/>
      <c r="BR62" s="556"/>
      <c r="BS62" s="556"/>
      <c r="BT62" s="556"/>
      <c r="BU62" s="556"/>
      <c r="BV62" s="556"/>
      <c r="BW62" s="556"/>
      <c r="BX62" s="556"/>
      <c r="BY62" s="556"/>
      <c r="BZ62" s="556"/>
      <c r="CA62" s="556"/>
      <c r="CB62" s="556"/>
      <c r="CC62" s="556"/>
      <c r="CD62" s="556"/>
      <c r="CE62" s="556"/>
      <c r="CF62" s="556"/>
      <c r="CG62" s="556"/>
      <c r="CH62" s="556"/>
      <c r="CI62" s="556"/>
      <c r="CJ62" s="556"/>
      <c r="CK62" s="556"/>
      <c r="CL62" s="556"/>
      <c r="CM62" s="556"/>
      <c r="CN62" s="556"/>
      <c r="CO62" s="556"/>
      <c r="CP62" s="556"/>
      <c r="CQ62" s="556"/>
      <c r="CR62" s="556"/>
      <c r="CS62" s="556"/>
      <c r="CT62" s="556"/>
      <c r="CU62" s="556"/>
      <c r="CV62" s="556"/>
      <c r="CW62" s="556"/>
      <c r="CX62" s="556"/>
      <c r="CY62" s="556"/>
      <c r="CZ62" s="556"/>
      <c r="DA62" s="556"/>
      <c r="DB62" s="556"/>
      <c r="DC62" s="556"/>
      <c r="DD62" s="556"/>
      <c r="DE62" s="556"/>
      <c r="DF62" s="556"/>
      <c r="DG62" s="556"/>
      <c r="DH62" s="556"/>
      <c r="DI62" s="556"/>
      <c r="DJ62" s="556"/>
      <c r="DK62" s="556"/>
      <c r="DL62" s="556"/>
      <c r="DM62" s="556"/>
      <c r="DN62" s="556"/>
      <c r="DO62" s="556"/>
      <c r="DP62" s="556"/>
      <c r="DQ62" s="556"/>
      <c r="DR62" s="556"/>
      <c r="DS62" s="556"/>
      <c r="DT62" s="556"/>
      <c r="DU62" s="556"/>
      <c r="DV62" s="556"/>
      <c r="DW62" s="556"/>
      <c r="DX62" s="556"/>
      <c r="DY62" s="556"/>
      <c r="DZ62" s="556"/>
      <c r="EA62" s="556"/>
      <c r="EB62" s="556"/>
      <c r="EC62" s="556"/>
      <c r="ED62" s="556"/>
      <c r="EE62" s="556"/>
      <c r="EF62" s="556"/>
      <c r="EG62" s="556"/>
      <c r="EH62" s="556"/>
      <c r="EI62" s="556"/>
      <c r="EJ62" s="556"/>
      <c r="EK62" s="556"/>
      <c r="EL62" s="556"/>
      <c r="EM62" s="556"/>
      <c r="EN62" s="556"/>
      <c r="EO62" s="556"/>
      <c r="EP62" s="556"/>
      <c r="EQ62" s="556"/>
      <c r="ER62" s="556"/>
      <c r="ES62" s="556"/>
      <c r="ET62" s="556"/>
      <c r="EU62" s="556"/>
      <c r="EV62" s="556"/>
      <c r="EW62" s="556"/>
      <c r="EX62" s="556"/>
      <c r="EY62" s="556"/>
      <c r="EZ62" s="556"/>
      <c r="FA62" s="556"/>
      <c r="FB62" s="556"/>
      <c r="FC62" s="556"/>
      <c r="FD62" s="556"/>
      <c r="FE62" s="556"/>
      <c r="FF62" s="556"/>
      <c r="FG62" s="556"/>
      <c r="FH62" s="556"/>
      <c r="FI62" s="556"/>
      <c r="FJ62" s="556"/>
      <c r="FK62" s="556"/>
      <c r="FL62" s="556"/>
      <c r="FM62" s="556"/>
      <c r="FN62" s="556"/>
      <c r="FO62" s="556"/>
      <c r="FP62" s="556"/>
      <c r="FQ62" s="556"/>
      <c r="FR62" s="556"/>
      <c r="FS62" s="556"/>
      <c r="FT62" s="556"/>
      <c r="FU62" s="556"/>
      <c r="FV62" s="556"/>
      <c r="FW62" s="556"/>
      <c r="FX62" s="556"/>
      <c r="FY62" s="556"/>
      <c r="FZ62" s="556"/>
      <c r="GA62" s="556"/>
      <c r="GB62" s="556"/>
      <c r="GC62" s="556"/>
      <c r="GD62" s="556"/>
      <c r="GE62" s="556"/>
      <c r="GF62" s="556"/>
      <c r="GG62" s="556"/>
      <c r="GH62" s="556"/>
      <c r="GI62" s="556"/>
      <c r="GJ62" s="556"/>
      <c r="GK62" s="556"/>
      <c r="GL62" s="556"/>
      <c r="GM62" s="556"/>
      <c r="GN62" s="556"/>
    </row>
    <row r="63" spans="1:196" ht="14.25" customHeight="1">
      <c r="A63" s="625" t="s">
        <v>192</v>
      </c>
      <c r="B63" s="625"/>
      <c r="C63" s="625"/>
      <c r="D63" s="625"/>
      <c r="E63" s="625"/>
      <c r="F63" s="625"/>
      <c r="G63" s="625"/>
      <c r="H63" s="625"/>
      <c r="I63" s="625"/>
      <c r="J63" s="556"/>
      <c r="K63" s="556"/>
      <c r="L63" s="556"/>
      <c r="M63" s="556"/>
      <c r="N63" s="557"/>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556"/>
      <c r="BE63" s="556"/>
      <c r="BF63" s="556"/>
      <c r="BG63" s="556"/>
      <c r="BH63" s="556"/>
      <c r="BI63" s="556"/>
      <c r="BJ63" s="556"/>
      <c r="BK63" s="556"/>
      <c r="BL63" s="556"/>
      <c r="BM63" s="556"/>
      <c r="BN63" s="556"/>
      <c r="BO63" s="556"/>
      <c r="BP63" s="556"/>
      <c r="BQ63" s="556"/>
      <c r="BR63" s="556"/>
      <c r="BS63" s="556"/>
      <c r="BT63" s="556"/>
      <c r="BU63" s="556"/>
      <c r="BV63" s="556"/>
      <c r="BW63" s="556"/>
      <c r="BX63" s="556"/>
      <c r="BY63" s="556"/>
      <c r="BZ63" s="556"/>
      <c r="CA63" s="556"/>
      <c r="CB63" s="556"/>
      <c r="CC63" s="556"/>
      <c r="CD63" s="556"/>
      <c r="CE63" s="556"/>
      <c r="CF63" s="556"/>
      <c r="CG63" s="556"/>
      <c r="CH63" s="556"/>
      <c r="CI63" s="556"/>
      <c r="CJ63" s="556"/>
      <c r="CK63" s="556"/>
      <c r="CL63" s="556"/>
      <c r="CM63" s="556"/>
      <c r="CN63" s="556"/>
      <c r="CO63" s="556"/>
      <c r="CP63" s="556"/>
      <c r="CQ63" s="556"/>
      <c r="CR63" s="556"/>
      <c r="CS63" s="556"/>
      <c r="CT63" s="556"/>
      <c r="CU63" s="556"/>
      <c r="CV63" s="556"/>
      <c r="CW63" s="556"/>
      <c r="CX63" s="556"/>
      <c r="CY63" s="556"/>
      <c r="CZ63" s="556"/>
      <c r="DA63" s="556"/>
      <c r="DB63" s="556"/>
      <c r="DC63" s="556"/>
      <c r="DD63" s="556"/>
      <c r="DE63" s="556"/>
      <c r="DF63" s="556"/>
      <c r="DG63" s="556"/>
      <c r="DH63" s="556"/>
      <c r="DI63" s="556"/>
      <c r="DJ63" s="556"/>
      <c r="DK63" s="556"/>
      <c r="DL63" s="556"/>
      <c r="DM63" s="556"/>
      <c r="DN63" s="556"/>
      <c r="DO63" s="556"/>
      <c r="DP63" s="556"/>
      <c r="DQ63" s="556"/>
      <c r="DR63" s="556"/>
      <c r="DS63" s="556"/>
      <c r="DT63" s="556"/>
      <c r="DU63" s="556"/>
      <c r="DV63" s="556"/>
      <c r="DW63" s="556"/>
      <c r="DX63" s="556"/>
      <c r="DY63" s="556"/>
      <c r="DZ63" s="556"/>
      <c r="EA63" s="556"/>
      <c r="EB63" s="556"/>
      <c r="EC63" s="556"/>
      <c r="ED63" s="556"/>
      <c r="EE63" s="556"/>
      <c r="EF63" s="556"/>
      <c r="EG63" s="556"/>
      <c r="EH63" s="556"/>
      <c r="EI63" s="556"/>
      <c r="EJ63" s="556"/>
      <c r="EK63" s="556"/>
      <c r="EL63" s="556"/>
      <c r="EM63" s="556"/>
      <c r="EN63" s="556"/>
      <c r="EO63" s="556"/>
      <c r="EP63" s="556"/>
      <c r="EQ63" s="556"/>
      <c r="ER63" s="556"/>
      <c r="ES63" s="556"/>
      <c r="ET63" s="556"/>
      <c r="EU63" s="556"/>
      <c r="EV63" s="556"/>
      <c r="EW63" s="556"/>
      <c r="EX63" s="556"/>
      <c r="EY63" s="556"/>
      <c r="EZ63" s="556"/>
      <c r="FA63" s="556"/>
      <c r="FB63" s="556"/>
      <c r="FC63" s="556"/>
      <c r="FD63" s="556"/>
      <c r="FE63" s="556"/>
      <c r="FF63" s="556"/>
      <c r="FG63" s="556"/>
      <c r="FH63" s="556"/>
      <c r="FI63" s="556"/>
      <c r="FJ63" s="556"/>
      <c r="FK63" s="556"/>
      <c r="FL63" s="556"/>
      <c r="FM63" s="556"/>
      <c r="FN63" s="556"/>
      <c r="FO63" s="556"/>
      <c r="FP63" s="556"/>
      <c r="FQ63" s="556"/>
      <c r="FR63" s="556"/>
      <c r="FS63" s="556"/>
      <c r="FT63" s="556"/>
      <c r="FU63" s="556"/>
      <c r="FV63" s="556"/>
      <c r="FW63" s="556"/>
      <c r="FX63" s="556"/>
      <c r="FY63" s="556"/>
      <c r="FZ63" s="556"/>
      <c r="GA63" s="556"/>
      <c r="GB63" s="556"/>
      <c r="GC63" s="556"/>
      <c r="GD63" s="556"/>
      <c r="GE63" s="556"/>
      <c r="GF63" s="556"/>
      <c r="GG63" s="556"/>
      <c r="GH63" s="556"/>
      <c r="GI63" s="556"/>
      <c r="GJ63" s="556"/>
      <c r="GK63" s="556"/>
      <c r="GL63" s="556"/>
      <c r="GM63" s="556"/>
      <c r="GN63" s="556"/>
    </row>
    <row r="64" spans="1:196" ht="14.25" customHeight="1">
      <c r="A64" s="612" t="s">
        <v>193</v>
      </c>
      <c r="B64" s="612"/>
      <c r="C64" s="612"/>
      <c r="D64" s="612"/>
      <c r="E64" s="612"/>
      <c r="F64" s="612"/>
      <c r="G64" s="612"/>
      <c r="H64" s="612"/>
      <c r="I64" s="612"/>
      <c r="J64" s="558"/>
      <c r="K64" s="556"/>
      <c r="L64" s="556"/>
      <c r="M64" s="556"/>
      <c r="N64" s="557"/>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556"/>
      <c r="BE64" s="556"/>
      <c r="BF64" s="556"/>
      <c r="BG64" s="556"/>
      <c r="BH64" s="556"/>
      <c r="BI64" s="556"/>
      <c r="BJ64" s="556"/>
      <c r="BK64" s="556"/>
      <c r="BL64" s="556"/>
      <c r="BM64" s="556"/>
      <c r="BN64" s="556"/>
      <c r="BO64" s="556"/>
      <c r="BP64" s="556"/>
      <c r="BQ64" s="556"/>
      <c r="BR64" s="556"/>
      <c r="BS64" s="556"/>
      <c r="BT64" s="556"/>
      <c r="BU64" s="556"/>
      <c r="BV64" s="556"/>
      <c r="BW64" s="556"/>
      <c r="BX64" s="556"/>
      <c r="BY64" s="556"/>
      <c r="BZ64" s="556"/>
      <c r="CA64" s="556"/>
      <c r="CB64" s="556"/>
      <c r="CC64" s="556"/>
      <c r="CD64" s="556"/>
      <c r="CE64" s="556"/>
      <c r="CF64" s="556"/>
      <c r="CG64" s="556"/>
      <c r="CH64" s="556"/>
      <c r="CI64" s="556"/>
      <c r="CJ64" s="556"/>
      <c r="CK64" s="556"/>
      <c r="CL64" s="556"/>
      <c r="CM64" s="556"/>
      <c r="CN64" s="556"/>
      <c r="CO64" s="556"/>
      <c r="CP64" s="556"/>
      <c r="CQ64" s="556"/>
      <c r="CR64" s="556"/>
      <c r="CS64" s="556"/>
      <c r="CT64" s="556"/>
      <c r="CU64" s="556"/>
      <c r="CV64" s="556"/>
      <c r="CW64" s="556"/>
      <c r="CX64" s="556"/>
      <c r="CY64" s="556"/>
      <c r="CZ64" s="556"/>
      <c r="DA64" s="556"/>
      <c r="DB64" s="556"/>
      <c r="DC64" s="556"/>
      <c r="DD64" s="556"/>
      <c r="DE64" s="556"/>
      <c r="DF64" s="556"/>
      <c r="DG64" s="556"/>
      <c r="DH64" s="556"/>
      <c r="DI64" s="556"/>
      <c r="DJ64" s="556"/>
      <c r="DK64" s="556"/>
      <c r="DL64" s="556"/>
      <c r="DM64" s="556"/>
      <c r="DN64" s="556"/>
      <c r="DO64" s="556"/>
      <c r="DP64" s="556"/>
      <c r="DQ64" s="556"/>
      <c r="DR64" s="556"/>
      <c r="DS64" s="556"/>
      <c r="DT64" s="556"/>
      <c r="DU64" s="556"/>
      <c r="DV64" s="556"/>
      <c r="DW64" s="556"/>
      <c r="DX64" s="556"/>
      <c r="DY64" s="556"/>
      <c r="DZ64" s="556"/>
      <c r="EA64" s="556"/>
      <c r="EB64" s="556"/>
      <c r="EC64" s="556"/>
      <c r="ED64" s="556"/>
      <c r="EE64" s="556"/>
      <c r="EF64" s="556"/>
      <c r="EG64" s="556"/>
      <c r="EH64" s="556"/>
      <c r="EI64" s="556"/>
      <c r="EJ64" s="556"/>
      <c r="EK64" s="556"/>
      <c r="EL64" s="556"/>
      <c r="EM64" s="556"/>
      <c r="EN64" s="556"/>
      <c r="EO64" s="556"/>
      <c r="EP64" s="556"/>
      <c r="EQ64" s="556"/>
      <c r="ER64" s="556"/>
      <c r="ES64" s="556"/>
      <c r="ET64" s="556"/>
      <c r="EU64" s="556"/>
      <c r="EV64" s="556"/>
      <c r="EW64" s="556"/>
      <c r="EX64" s="556"/>
      <c r="EY64" s="556"/>
      <c r="EZ64" s="556"/>
      <c r="FA64" s="556"/>
      <c r="FB64" s="556"/>
      <c r="FC64" s="556"/>
      <c r="FD64" s="556"/>
      <c r="FE64" s="556"/>
      <c r="FF64" s="556"/>
      <c r="FG64" s="556"/>
      <c r="FH64" s="556"/>
      <c r="FI64" s="556"/>
      <c r="FJ64" s="556"/>
      <c r="FK64" s="556"/>
      <c r="FL64" s="556"/>
      <c r="FM64" s="556"/>
      <c r="FN64" s="556"/>
      <c r="FO64" s="556"/>
      <c r="FP64" s="556"/>
      <c r="FQ64" s="556"/>
      <c r="FR64" s="556"/>
      <c r="FS64" s="556"/>
      <c r="FT64" s="556"/>
      <c r="FU64" s="556"/>
      <c r="FV64" s="556"/>
      <c r="FW64" s="556"/>
      <c r="FX64" s="556"/>
      <c r="FY64" s="556"/>
      <c r="FZ64" s="556"/>
      <c r="GA64" s="556"/>
      <c r="GB64" s="556"/>
      <c r="GC64" s="556"/>
      <c r="GD64" s="556"/>
      <c r="GE64" s="556"/>
      <c r="GF64" s="556"/>
      <c r="GG64" s="556"/>
      <c r="GH64" s="556"/>
      <c r="GI64" s="556"/>
      <c r="GJ64" s="556"/>
      <c r="GK64" s="556"/>
      <c r="GL64" s="556"/>
      <c r="GM64" s="556"/>
      <c r="GN64" s="556"/>
    </row>
    <row r="65" spans="1:196" ht="14.25" customHeight="1">
      <c r="A65" s="612" t="s">
        <v>186</v>
      </c>
      <c r="B65" s="612"/>
      <c r="C65" s="612"/>
      <c r="D65" s="612"/>
      <c r="E65" s="612"/>
      <c r="F65" s="612"/>
      <c r="G65" s="612"/>
      <c r="H65" s="612"/>
      <c r="I65" s="612"/>
      <c r="J65" s="612"/>
      <c r="K65" s="556"/>
      <c r="L65" s="556"/>
      <c r="M65" s="556"/>
      <c r="N65" s="557"/>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556"/>
      <c r="BE65" s="556"/>
      <c r="BF65" s="556"/>
      <c r="BG65" s="556"/>
      <c r="BH65" s="556"/>
      <c r="BI65" s="556"/>
      <c r="BJ65" s="556"/>
      <c r="BK65" s="556"/>
      <c r="BL65" s="556"/>
      <c r="BM65" s="556"/>
      <c r="BN65" s="556"/>
      <c r="BO65" s="556"/>
      <c r="BP65" s="556"/>
      <c r="BQ65" s="556"/>
      <c r="BR65" s="556"/>
      <c r="BS65" s="556"/>
      <c r="BT65" s="556"/>
      <c r="BU65" s="556"/>
      <c r="BV65" s="556"/>
      <c r="BW65" s="556"/>
      <c r="BX65" s="556"/>
      <c r="BY65" s="556"/>
      <c r="BZ65" s="556"/>
      <c r="CA65" s="556"/>
      <c r="CB65" s="556"/>
      <c r="CC65" s="556"/>
      <c r="CD65" s="556"/>
      <c r="CE65" s="556"/>
      <c r="CF65" s="556"/>
      <c r="CG65" s="556"/>
      <c r="CH65" s="556"/>
      <c r="CI65" s="556"/>
      <c r="CJ65" s="556"/>
      <c r="CK65" s="556"/>
      <c r="CL65" s="556"/>
      <c r="CM65" s="556"/>
      <c r="CN65" s="556"/>
      <c r="CO65" s="556"/>
      <c r="CP65" s="556"/>
      <c r="CQ65" s="556"/>
      <c r="CR65" s="556"/>
      <c r="CS65" s="556"/>
      <c r="CT65" s="556"/>
      <c r="CU65" s="556"/>
      <c r="CV65" s="556"/>
      <c r="CW65" s="556"/>
      <c r="CX65" s="556"/>
      <c r="CY65" s="556"/>
      <c r="CZ65" s="556"/>
      <c r="DA65" s="556"/>
      <c r="DB65" s="556"/>
      <c r="DC65" s="556"/>
      <c r="DD65" s="556"/>
      <c r="DE65" s="556"/>
      <c r="DF65" s="556"/>
      <c r="DG65" s="556"/>
      <c r="DH65" s="556"/>
      <c r="DI65" s="556"/>
      <c r="DJ65" s="556"/>
      <c r="DK65" s="556"/>
      <c r="DL65" s="556"/>
      <c r="DM65" s="556"/>
      <c r="DN65" s="556"/>
      <c r="DO65" s="556"/>
      <c r="DP65" s="556"/>
      <c r="DQ65" s="556"/>
      <c r="DR65" s="556"/>
      <c r="DS65" s="556"/>
      <c r="DT65" s="556"/>
      <c r="DU65" s="556"/>
      <c r="DV65" s="556"/>
      <c r="DW65" s="556"/>
      <c r="DX65" s="556"/>
      <c r="DY65" s="556"/>
      <c r="DZ65" s="556"/>
      <c r="EA65" s="556"/>
      <c r="EB65" s="556"/>
      <c r="EC65" s="556"/>
      <c r="ED65" s="556"/>
      <c r="EE65" s="556"/>
      <c r="EF65" s="556"/>
      <c r="EG65" s="556"/>
      <c r="EH65" s="556"/>
      <c r="EI65" s="556"/>
      <c r="EJ65" s="556"/>
      <c r="EK65" s="556"/>
      <c r="EL65" s="556"/>
      <c r="EM65" s="556"/>
      <c r="EN65" s="556"/>
      <c r="EO65" s="556"/>
      <c r="EP65" s="556"/>
      <c r="EQ65" s="556"/>
      <c r="ER65" s="556"/>
      <c r="ES65" s="556"/>
      <c r="ET65" s="556"/>
      <c r="EU65" s="556"/>
      <c r="EV65" s="556"/>
      <c r="EW65" s="556"/>
      <c r="EX65" s="556"/>
      <c r="EY65" s="556"/>
      <c r="EZ65" s="556"/>
      <c r="FA65" s="556"/>
      <c r="FB65" s="556"/>
      <c r="FC65" s="556"/>
      <c r="FD65" s="556"/>
      <c r="FE65" s="556"/>
      <c r="FF65" s="556"/>
      <c r="FG65" s="556"/>
      <c r="FH65" s="556"/>
      <c r="FI65" s="556"/>
      <c r="FJ65" s="556"/>
      <c r="FK65" s="556"/>
      <c r="FL65" s="556"/>
      <c r="FM65" s="556"/>
      <c r="FN65" s="556"/>
      <c r="FO65" s="556"/>
      <c r="FP65" s="556"/>
      <c r="FQ65" s="556"/>
      <c r="FR65" s="556"/>
      <c r="FS65" s="556"/>
      <c r="FT65" s="556"/>
      <c r="FU65" s="556"/>
      <c r="FV65" s="556"/>
      <c r="FW65" s="556"/>
      <c r="FX65" s="556"/>
      <c r="FY65" s="556"/>
      <c r="FZ65" s="556"/>
      <c r="GA65" s="556"/>
      <c r="GB65" s="556"/>
      <c r="GC65" s="556"/>
      <c r="GD65" s="556"/>
      <c r="GE65" s="556"/>
      <c r="GF65" s="556"/>
      <c r="GG65" s="556"/>
      <c r="GH65" s="556"/>
      <c r="GI65" s="556"/>
      <c r="GJ65" s="556"/>
      <c r="GK65" s="556"/>
      <c r="GL65" s="556"/>
      <c r="GM65" s="556"/>
      <c r="GN65" s="556"/>
    </row>
    <row r="66" spans="1:196" s="2" customFormat="1" ht="39" customHeight="1">
      <c r="A66" s="612" t="s">
        <v>194</v>
      </c>
      <c r="B66" s="612"/>
      <c r="C66" s="612"/>
      <c r="D66" s="612"/>
      <c r="E66" s="612"/>
      <c r="F66" s="612"/>
      <c r="G66" s="612"/>
      <c r="H66" s="612"/>
      <c r="I66" s="612"/>
      <c r="J66"/>
      <c r="K66" s="558"/>
      <c r="L66" s="558"/>
      <c r="M66" s="558"/>
      <c r="N66" s="559"/>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8"/>
      <c r="BT66" s="558"/>
      <c r="BU66" s="558"/>
      <c r="BV66" s="558"/>
      <c r="BW66" s="558"/>
      <c r="BX66" s="558"/>
      <c r="BY66" s="558"/>
      <c r="BZ66" s="558"/>
      <c r="CA66" s="558"/>
      <c r="CB66" s="558"/>
      <c r="CC66" s="558"/>
      <c r="CD66" s="558"/>
      <c r="CE66" s="558"/>
      <c r="CF66" s="558"/>
      <c r="CG66" s="558"/>
      <c r="CH66" s="558"/>
      <c r="CI66" s="558"/>
      <c r="CJ66" s="558"/>
      <c r="CK66" s="558"/>
      <c r="CL66" s="558"/>
      <c r="CM66" s="558"/>
      <c r="CN66" s="558"/>
      <c r="CO66" s="558"/>
      <c r="CP66" s="558"/>
      <c r="CQ66" s="558"/>
      <c r="CR66" s="558"/>
      <c r="CS66" s="558"/>
      <c r="CT66" s="558"/>
      <c r="CU66" s="558"/>
      <c r="CV66" s="558"/>
      <c r="CW66" s="558"/>
      <c r="CX66" s="558"/>
      <c r="CY66" s="558"/>
      <c r="CZ66" s="558"/>
      <c r="DA66" s="558"/>
      <c r="DB66" s="558"/>
      <c r="DC66" s="558"/>
      <c r="DD66" s="558"/>
      <c r="DE66" s="558"/>
      <c r="DF66" s="558"/>
      <c r="DG66" s="558"/>
      <c r="DH66" s="558"/>
      <c r="DI66" s="558"/>
      <c r="DJ66" s="558"/>
      <c r="DK66" s="558"/>
      <c r="DL66" s="558"/>
      <c r="DM66" s="558"/>
      <c r="DN66" s="558"/>
      <c r="DO66" s="558"/>
      <c r="DP66" s="558"/>
      <c r="DQ66" s="558"/>
      <c r="DR66" s="558"/>
      <c r="DS66" s="558"/>
      <c r="DT66" s="558"/>
      <c r="DU66" s="558"/>
      <c r="DV66" s="558"/>
      <c r="DW66" s="558"/>
      <c r="DX66" s="558"/>
      <c r="DY66" s="558"/>
      <c r="DZ66" s="558"/>
      <c r="EA66" s="558"/>
      <c r="EB66" s="558"/>
      <c r="EC66" s="558"/>
      <c r="ED66" s="558"/>
      <c r="EE66" s="558"/>
      <c r="EF66" s="558"/>
      <c r="EG66" s="558"/>
      <c r="EH66" s="558"/>
      <c r="EI66" s="558"/>
      <c r="EJ66" s="558"/>
      <c r="EK66" s="558"/>
      <c r="EL66" s="558"/>
      <c r="EM66" s="558"/>
      <c r="EN66" s="558"/>
      <c r="EO66" s="558"/>
      <c r="EP66" s="558"/>
      <c r="EQ66" s="558"/>
      <c r="ER66" s="558"/>
      <c r="ES66" s="558"/>
      <c r="ET66" s="558"/>
      <c r="EU66" s="558"/>
      <c r="EV66" s="558"/>
      <c r="EW66" s="558"/>
      <c r="EX66" s="558"/>
      <c r="EY66" s="558"/>
      <c r="EZ66" s="558"/>
      <c r="FA66" s="558"/>
      <c r="FB66" s="558"/>
      <c r="FC66" s="558"/>
      <c r="FD66" s="558"/>
      <c r="FE66" s="558"/>
      <c r="FF66" s="558"/>
      <c r="FG66" s="558"/>
      <c r="FH66" s="558"/>
      <c r="FI66" s="558"/>
      <c r="FJ66" s="558"/>
      <c r="FK66" s="558"/>
      <c r="FL66" s="558"/>
      <c r="FM66" s="558"/>
      <c r="FN66" s="558"/>
      <c r="FO66" s="558"/>
      <c r="FP66" s="558"/>
      <c r="FQ66" s="558"/>
      <c r="FR66" s="558"/>
      <c r="FS66" s="558"/>
      <c r="FT66" s="558"/>
      <c r="FU66" s="558"/>
      <c r="FV66" s="558"/>
      <c r="FW66" s="558"/>
      <c r="FX66" s="558"/>
      <c r="FY66" s="558"/>
      <c r="FZ66" s="558"/>
      <c r="GA66" s="558"/>
      <c r="GB66" s="558"/>
      <c r="GC66" s="558"/>
      <c r="GD66" s="558"/>
      <c r="GE66" s="558"/>
      <c r="GF66" s="558"/>
      <c r="GG66" s="558"/>
      <c r="GH66" s="558"/>
      <c r="GI66" s="558"/>
      <c r="GJ66" s="558"/>
      <c r="GK66" s="558"/>
      <c r="GL66" s="558"/>
      <c r="GM66" s="558"/>
      <c r="GN66" s="558"/>
    </row>
    <row r="67" spans="1:14" s="26" customFormat="1" ht="28.5" customHeight="1">
      <c r="A67" s="612" t="s">
        <v>195</v>
      </c>
      <c r="B67" s="612"/>
      <c r="C67" s="612"/>
      <c r="D67" s="612"/>
      <c r="E67" s="612"/>
      <c r="F67" s="612"/>
      <c r="G67" s="612"/>
      <c r="H67" s="612"/>
      <c r="I67" s="612"/>
      <c r="N67" s="536"/>
    </row>
    <row r="68" spans="1:14" s="26" customFormat="1" ht="28.5" customHeight="1">
      <c r="A68" s="612" t="s">
        <v>196</v>
      </c>
      <c r="B68" s="612"/>
      <c r="C68" s="612"/>
      <c r="D68" s="612"/>
      <c r="E68" s="612"/>
      <c r="F68" s="612"/>
      <c r="G68" s="612"/>
      <c r="H68" s="612"/>
      <c r="I68" s="612"/>
      <c r="N68" s="536"/>
    </row>
    <row r="69" spans="1:14" s="26" customFormat="1" ht="65.25" customHeight="1">
      <c r="A69" s="43"/>
      <c r="B69" s="44"/>
      <c r="C69" s="87"/>
      <c r="E69" s="187" t="s">
        <v>50</v>
      </c>
      <c r="F69" s="168"/>
      <c r="N69" s="536"/>
    </row>
    <row r="70" spans="1:14" s="26" customFormat="1" ht="15">
      <c r="A70" s="48"/>
      <c r="B70" s="49"/>
      <c r="C70" s="149"/>
      <c r="E70" s="44"/>
      <c r="F70" s="44" t="s">
        <v>188</v>
      </c>
      <c r="N70" s="536"/>
    </row>
    <row r="71" spans="1:14" s="26" customFormat="1" ht="15">
      <c r="A71" s="48"/>
      <c r="B71" s="49"/>
      <c r="C71" s="150"/>
      <c r="N71" s="536"/>
    </row>
    <row r="72" spans="1:14" s="26" customFormat="1" ht="15">
      <c r="A72" s="43"/>
      <c r="B72" s="43"/>
      <c r="N72" s="536"/>
    </row>
    <row r="73" spans="1:14" s="26" customFormat="1" ht="14.25">
      <c r="A73" s="573"/>
      <c r="B73" s="573"/>
      <c r="C73" s="87"/>
      <c r="N73" s="536"/>
    </row>
    <row r="74" spans="1:14" s="26" customFormat="1" ht="12.75">
      <c r="A74" s="217"/>
      <c r="C74" s="152"/>
      <c r="N74" s="536"/>
    </row>
    <row r="75" s="26" customFormat="1" ht="12.75">
      <c r="N75" s="536"/>
    </row>
    <row r="76" s="26" customFormat="1" ht="12.75">
      <c r="N76" s="536"/>
    </row>
    <row r="77" spans="1:14" s="26" customFormat="1" ht="12.75">
      <c r="A77"/>
      <c r="B77"/>
      <c r="C77"/>
      <c r="D77"/>
      <c r="E77"/>
      <c r="F77"/>
      <c r="G77"/>
      <c r="H77"/>
      <c r="I77"/>
      <c r="J77"/>
      <c r="N77" s="536"/>
    </row>
  </sheetData>
  <sheetProtection/>
  <mergeCells count="35">
    <mergeCell ref="Q25:Q26"/>
    <mergeCell ref="A62:I62"/>
    <mergeCell ref="A63:I63"/>
    <mergeCell ref="A64:I64"/>
    <mergeCell ref="G24:G25"/>
    <mergeCell ref="H24:H25"/>
    <mergeCell ref="I24:I25"/>
    <mergeCell ref="A65:J65"/>
    <mergeCell ref="A66:I66"/>
    <mergeCell ref="A73:B73"/>
    <mergeCell ref="N25:N26"/>
    <mergeCell ref="A24:A25"/>
    <mergeCell ref="B24:B25"/>
    <mergeCell ref="C24:C25"/>
    <mergeCell ref="D24:D25"/>
    <mergeCell ref="E24:E25"/>
    <mergeCell ref="F24:F25"/>
    <mergeCell ref="J16:J17"/>
    <mergeCell ref="K16:K17"/>
    <mergeCell ref="O18:P18"/>
    <mergeCell ref="N19:P19"/>
    <mergeCell ref="O20:P20"/>
    <mergeCell ref="K25:K26"/>
    <mergeCell ref="M25:M26"/>
    <mergeCell ref="P25:P26"/>
    <mergeCell ref="A67:I67"/>
    <mergeCell ref="A68:I68"/>
    <mergeCell ref="J24:J25"/>
    <mergeCell ref="A1:D1"/>
    <mergeCell ref="F1:H1"/>
    <mergeCell ref="A2:D2"/>
    <mergeCell ref="H3:I4"/>
    <mergeCell ref="A4:D4"/>
    <mergeCell ref="C5:D5"/>
    <mergeCell ref="C6:D6"/>
  </mergeCells>
  <printOptions/>
  <pageMargins left="0.25" right="0.25" top="0.75" bottom="0.75" header="0.3" footer="0.3"/>
  <pageSetup cellComments="asDisplayed" fitToHeight="1" fitToWidth="1" horizontalDpi="600" verticalDpi="600" orientation="portrait" paperSize="9" scale="48" r:id="rId1"/>
</worksheet>
</file>

<file path=xl/worksheets/sheet14.xml><?xml version="1.0" encoding="utf-8"?>
<worksheet xmlns="http://schemas.openxmlformats.org/spreadsheetml/2006/main" xmlns:r="http://schemas.openxmlformats.org/officeDocument/2006/relationships">
  <sheetPr>
    <pageSetUpPr fitToPage="1"/>
  </sheetPr>
  <dimension ref="A1:GN75"/>
  <sheetViews>
    <sheetView showGridLines="0" zoomScalePageLayoutView="0" workbookViewId="0" topLeftCell="A35">
      <selection activeCell="A75" sqref="A75"/>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20.57421875" style="0" bestFit="1" customWidth="1"/>
    <col min="13" max="13" width="14.421875" style="0" bestFit="1" customWidth="1"/>
    <col min="14" max="14" width="11.421875" style="0" bestFit="1" customWidth="1"/>
    <col min="15" max="15" width="10.8515625" style="0" bestFit="1" customWidth="1"/>
    <col min="18" max="18" width="9.57421875" style="0" bestFit="1" customWidth="1"/>
  </cols>
  <sheetData>
    <row r="1" spans="1:10" ht="23.25" customHeight="1">
      <c r="A1" s="606" t="s">
        <v>20</v>
      </c>
      <c r="B1" s="606"/>
      <c r="C1" s="606"/>
      <c r="D1" s="606"/>
      <c r="E1" s="168"/>
      <c r="F1" s="613" t="s">
        <v>144</v>
      </c>
      <c r="G1" s="613"/>
      <c r="H1" s="613"/>
      <c r="I1" s="428"/>
      <c r="J1" s="428"/>
    </row>
    <row r="2" spans="1:10" ht="12.75" customHeight="1">
      <c r="A2" s="608" t="s">
        <v>177</v>
      </c>
      <c r="B2" s="608"/>
      <c r="C2" s="608"/>
      <c r="D2" s="608"/>
      <c r="E2" s="168"/>
      <c r="F2" s="168"/>
      <c r="G2" s="428"/>
      <c r="H2" s="430"/>
      <c r="I2" s="430"/>
      <c r="J2" s="430"/>
    </row>
    <row r="3" spans="1:10" ht="12.75" customHeight="1">
      <c r="A3" s="298"/>
      <c r="B3" s="298"/>
      <c r="C3" s="298"/>
      <c r="D3" s="298"/>
      <c r="E3" s="168"/>
      <c r="F3" s="168"/>
      <c r="G3" s="428"/>
      <c r="H3" s="430"/>
      <c r="I3" s="430"/>
      <c r="J3" s="430"/>
    </row>
    <row r="4" spans="1:10" ht="12.75" customHeight="1">
      <c r="A4" s="609"/>
      <c r="B4" s="609"/>
      <c r="C4" s="609"/>
      <c r="D4" s="609"/>
      <c r="E4" s="168"/>
      <c r="F4" s="168"/>
      <c r="G4" s="428"/>
      <c r="H4" s="428"/>
      <c r="I4" s="428"/>
      <c r="J4" s="428"/>
    </row>
    <row r="5" spans="1:10" ht="22.5" customHeight="1" thickBot="1">
      <c r="A5" s="299"/>
      <c r="B5" s="299"/>
      <c r="C5" s="616"/>
      <c r="D5" s="616"/>
      <c r="E5" s="168"/>
      <c r="F5" s="168"/>
      <c r="G5" s="428"/>
      <c r="H5" s="428"/>
      <c r="I5" s="428"/>
      <c r="J5" s="428"/>
    </row>
    <row r="6" spans="1:10" ht="37.5" customHeight="1" thickBot="1">
      <c r="A6" s="300" t="s">
        <v>0</v>
      </c>
      <c r="B6" s="301" t="s">
        <v>1</v>
      </c>
      <c r="C6" s="610" t="s">
        <v>178</v>
      </c>
      <c r="D6" s="611"/>
      <c r="E6" s="168"/>
      <c r="F6" s="302"/>
      <c r="G6" s="168"/>
      <c r="H6" s="168"/>
      <c r="I6" s="168"/>
      <c r="J6" s="302"/>
    </row>
    <row r="7" spans="1:10" ht="19.5" customHeight="1">
      <c r="A7" s="303" t="s">
        <v>2</v>
      </c>
      <c r="B7" s="304" t="s">
        <v>3</v>
      </c>
      <c r="C7" s="167">
        <f>SUM(C8:C12)</f>
        <v>65729</v>
      </c>
      <c r="D7" s="306">
        <f>SUM(D8:D12)</f>
        <v>0.9999999999999999</v>
      </c>
      <c r="E7" s="28"/>
      <c r="F7" s="169">
        <f>+C8+C9+C10+C11</f>
        <v>59254</v>
      </c>
      <c r="G7" s="168"/>
      <c r="H7" s="168"/>
      <c r="I7" s="168"/>
      <c r="J7" s="168"/>
    </row>
    <row r="8" spans="1:13" s="6" customFormat="1" ht="21" customHeight="1">
      <c r="A8" s="307" t="s">
        <v>4</v>
      </c>
      <c r="B8" s="148" t="s">
        <v>3</v>
      </c>
      <c r="C8" s="120">
        <v>14919</v>
      </c>
      <c r="D8" s="308">
        <f>C8/$C$7</f>
        <v>0.22697743766069772</v>
      </c>
      <c r="E8" s="169"/>
      <c r="F8" s="518">
        <f>+C55/F7</f>
        <v>3.420798595875384</v>
      </c>
      <c r="G8" s="433">
        <f>+C8*F8</f>
        <v>51034.894251864855</v>
      </c>
      <c r="H8" s="412"/>
      <c r="I8" s="309"/>
      <c r="J8" s="310"/>
      <c r="M8" s="6" t="s">
        <v>176</v>
      </c>
    </row>
    <row r="9" spans="1:10" s="6" customFormat="1" ht="21" customHeight="1">
      <c r="A9" s="307" t="s">
        <v>145</v>
      </c>
      <c r="B9" s="148" t="s">
        <v>3</v>
      </c>
      <c r="C9" s="120">
        <v>3048</v>
      </c>
      <c r="D9" s="308">
        <f>C9/$C$7</f>
        <v>0.0463722253495413</v>
      </c>
      <c r="E9" s="339"/>
      <c r="F9" s="437"/>
      <c r="G9" s="519">
        <f>+C9*F8</f>
        <v>10426.59412022817</v>
      </c>
      <c r="H9" s="412"/>
      <c r="I9" s="309"/>
      <c r="J9" s="310"/>
    </row>
    <row r="10" spans="1:10" s="6" customFormat="1" ht="21" customHeight="1">
      <c r="A10" s="307" t="s">
        <v>10</v>
      </c>
      <c r="B10" s="148" t="s">
        <v>3</v>
      </c>
      <c r="C10" s="120">
        <v>6020</v>
      </c>
      <c r="D10" s="308">
        <f>C10/$C$7</f>
        <v>0.09158818786228301</v>
      </c>
      <c r="E10" s="339"/>
      <c r="F10" s="437"/>
      <c r="G10" s="519">
        <f>+C10*F8</f>
        <v>20593.20754716981</v>
      </c>
      <c r="H10" s="309"/>
      <c r="I10" s="309"/>
      <c r="J10" s="309"/>
    </row>
    <row r="11" spans="1:10" s="6" customFormat="1" ht="21" customHeight="1">
      <c r="A11" s="307" t="s">
        <v>5</v>
      </c>
      <c r="B11" s="148" t="s">
        <v>3</v>
      </c>
      <c r="C11" s="120">
        <v>35267</v>
      </c>
      <c r="D11" s="308">
        <f>C11/$C$7</f>
        <v>0.5365515982290922</v>
      </c>
      <c r="E11" s="311"/>
      <c r="F11" s="437"/>
      <c r="G11" s="519">
        <f>+C11*F8</f>
        <v>120641.30408073717</v>
      </c>
      <c r="H11" s="309">
        <f>+G11/C11</f>
        <v>3.420798595875384</v>
      </c>
      <c r="I11" s="309"/>
      <c r="J11" s="309"/>
    </row>
    <row r="12" spans="1:10" s="6" customFormat="1" ht="21" customHeight="1" thickBot="1">
      <c r="A12" s="520" t="s">
        <v>120</v>
      </c>
      <c r="B12" s="337" t="s">
        <v>3</v>
      </c>
      <c r="C12" s="421">
        <v>6475</v>
      </c>
      <c r="D12" s="317">
        <f>C12/$C$7</f>
        <v>0.0985105508983858</v>
      </c>
      <c r="E12" s="339"/>
      <c r="F12" s="437"/>
      <c r="G12" s="519"/>
      <c r="H12" s="309">
        <f>5.07-H11</f>
        <v>1.6492014041246161</v>
      </c>
      <c r="I12" s="309"/>
      <c r="J12" s="309"/>
    </row>
    <row r="13" spans="1:10" ht="12" customHeight="1">
      <c r="A13" s="170"/>
      <c r="B13" s="170"/>
      <c r="C13" s="170"/>
      <c r="D13" s="168"/>
      <c r="E13" s="168"/>
      <c r="F13" s="321"/>
      <c r="G13" s="395"/>
      <c r="H13" s="395"/>
      <c r="I13" s="395"/>
      <c r="J13" s="395"/>
    </row>
    <row r="14" spans="1:10" ht="15.75" customHeight="1" thickBot="1">
      <c r="A14" s="456"/>
      <c r="B14" s="351"/>
      <c r="C14" s="457"/>
      <c r="D14" s="168"/>
      <c r="E14" s="168"/>
      <c r="F14" s="325"/>
      <c r="G14" s="325"/>
      <c r="H14" s="325"/>
      <c r="I14" s="326"/>
      <c r="J14" s="395"/>
    </row>
    <row r="15" spans="1:13" ht="100.5" customHeight="1" thickBot="1">
      <c r="A15" s="300" t="s">
        <v>0</v>
      </c>
      <c r="B15" s="301" t="s">
        <v>1</v>
      </c>
      <c r="C15" s="263" t="s">
        <v>24</v>
      </c>
      <c r="D15" s="263" t="s">
        <v>25</v>
      </c>
      <c r="E15" s="327" t="s">
        <v>41</v>
      </c>
      <c r="F15" s="263" t="s">
        <v>22</v>
      </c>
      <c r="G15" s="297" t="s">
        <v>38</v>
      </c>
      <c r="H15" s="297" t="s">
        <v>39</v>
      </c>
      <c r="I15" s="263" t="s">
        <v>23</v>
      </c>
      <c r="J15" s="463"/>
      <c r="K15" s="405"/>
      <c r="L15" s="405"/>
      <c r="M15" s="26"/>
    </row>
    <row r="16" spans="1:11" ht="16.5" customHeight="1" thickBot="1">
      <c r="A16" s="328">
        <v>1</v>
      </c>
      <c r="B16" s="329">
        <v>2</v>
      </c>
      <c r="C16" s="297">
        <v>3</v>
      </c>
      <c r="D16" s="297">
        <v>4</v>
      </c>
      <c r="E16" s="297">
        <v>5</v>
      </c>
      <c r="F16" s="297">
        <v>6</v>
      </c>
      <c r="G16" s="297">
        <v>7</v>
      </c>
      <c r="H16" s="297">
        <v>8</v>
      </c>
      <c r="I16" s="297">
        <v>9</v>
      </c>
      <c r="J16" s="617" t="s">
        <v>170</v>
      </c>
      <c r="K16" s="618" t="s">
        <v>171</v>
      </c>
    </row>
    <row r="17" spans="1:13" s="108" customFormat="1" ht="19.5" customHeight="1">
      <c r="A17" s="330" t="s">
        <v>33</v>
      </c>
      <c r="B17" s="304" t="s">
        <v>9</v>
      </c>
      <c r="C17" s="260">
        <f aca="true" t="shared" si="0" ref="C17:I17">SUM(C18:C22)</f>
        <v>178500.44</v>
      </c>
      <c r="D17" s="260">
        <f t="shared" si="0"/>
        <v>53321</v>
      </c>
      <c r="E17" s="260">
        <f t="shared" si="0"/>
        <v>16301</v>
      </c>
      <c r="F17" s="260">
        <f t="shared" si="0"/>
        <v>45862</v>
      </c>
      <c r="G17" s="260">
        <f t="shared" si="0"/>
        <v>28254.439999999995</v>
      </c>
      <c r="H17" s="260">
        <f t="shared" si="0"/>
        <v>34762</v>
      </c>
      <c r="I17" s="496">
        <f t="shared" si="0"/>
        <v>309296</v>
      </c>
      <c r="J17" s="617"/>
      <c r="K17" s="618"/>
      <c r="L17" s="514"/>
      <c r="M17" s="503"/>
    </row>
    <row r="18" spans="1:19" s="114" customFormat="1" ht="21" customHeight="1">
      <c r="A18" s="307" t="s">
        <v>4</v>
      </c>
      <c r="B18" s="148" t="s">
        <v>9</v>
      </c>
      <c r="C18" s="112">
        <f>SUM(D18:H18)</f>
        <v>41469.61</v>
      </c>
      <c r="D18" s="112">
        <v>9697</v>
      </c>
      <c r="E18" s="112">
        <v>3700</v>
      </c>
      <c r="F18" s="112">
        <v>10410</v>
      </c>
      <c r="G18" s="112">
        <f>+C8*0.19</f>
        <v>2834.61</v>
      </c>
      <c r="H18" s="112">
        <v>14828</v>
      </c>
      <c r="I18" s="497">
        <f>+K18</f>
        <v>93100</v>
      </c>
      <c r="J18" s="464">
        <f>+C8*9.02</f>
        <v>134569.38</v>
      </c>
      <c r="K18" s="465">
        <f>+ROUND(J18-C18,0)</f>
        <v>93100</v>
      </c>
      <c r="L18" s="465"/>
      <c r="M18" s="498"/>
      <c r="N18" s="499"/>
      <c r="O18" s="513"/>
      <c r="P18" s="504"/>
      <c r="R18" s="107"/>
      <c r="S18" s="504"/>
    </row>
    <row r="19" spans="1:19" s="114" customFormat="1" ht="21" customHeight="1">
      <c r="A19" s="307" t="s">
        <v>145</v>
      </c>
      <c r="B19" s="148" t="s">
        <v>9</v>
      </c>
      <c r="C19" s="112">
        <f>SUM(D19:H19)</f>
        <v>3828.4</v>
      </c>
      <c r="D19" s="112">
        <v>793</v>
      </c>
      <c r="E19" s="112">
        <v>756</v>
      </c>
      <c r="F19" s="112">
        <v>2127</v>
      </c>
      <c r="G19" s="112">
        <f>+C9*0.05</f>
        <v>152.4</v>
      </c>
      <c r="H19" s="112">
        <v>0</v>
      </c>
      <c r="I19" s="497">
        <f>+K19</f>
        <v>8790</v>
      </c>
      <c r="J19" s="464">
        <f>+C9*4.14</f>
        <v>12618.72</v>
      </c>
      <c r="K19" s="465">
        <f>+ROUND(J19-C19,0)</f>
        <v>8790</v>
      </c>
      <c r="L19" s="465"/>
      <c r="M19" s="498"/>
      <c r="N19" s="499"/>
      <c r="O19" s="513"/>
      <c r="P19" s="504"/>
      <c r="R19" s="107"/>
      <c r="S19" s="504"/>
    </row>
    <row r="20" spans="1:19" s="114" customFormat="1" ht="21" customHeight="1">
      <c r="A20" s="307" t="s">
        <v>10</v>
      </c>
      <c r="B20" s="148" t="s">
        <v>9</v>
      </c>
      <c r="C20" s="112">
        <f>SUM(D20:H20)</f>
        <v>41509.399999999994</v>
      </c>
      <c r="D20" s="112">
        <v>4696</v>
      </c>
      <c r="E20" s="112">
        <v>1493</v>
      </c>
      <c r="F20" s="112">
        <v>4200</v>
      </c>
      <c r="G20" s="112">
        <f>+C10*3.67</f>
        <v>22093.399999999998</v>
      </c>
      <c r="H20" s="112">
        <v>9027</v>
      </c>
      <c r="I20" s="497">
        <f>+K20</f>
        <v>89185</v>
      </c>
      <c r="J20" s="464">
        <f>+C10*21.71</f>
        <v>130694.20000000001</v>
      </c>
      <c r="K20" s="465">
        <f>+ROUND(J20-C20,0)</f>
        <v>89185</v>
      </c>
      <c r="L20" s="465"/>
      <c r="M20" s="498"/>
      <c r="N20" s="499"/>
      <c r="O20" s="513"/>
      <c r="P20" s="504"/>
      <c r="R20" s="107"/>
      <c r="S20" s="504"/>
    </row>
    <row r="21" spans="1:19" s="114" customFormat="1" ht="21" customHeight="1">
      <c r="A21" s="307" t="s">
        <v>5</v>
      </c>
      <c r="B21" s="148" t="s">
        <v>9</v>
      </c>
      <c r="C21" s="112">
        <f>SUM(D21:H21)</f>
        <v>60483.03</v>
      </c>
      <c r="D21" s="112">
        <v>13049</v>
      </c>
      <c r="E21" s="112">
        <v>8746</v>
      </c>
      <c r="F21" s="112">
        <v>24607</v>
      </c>
      <c r="G21" s="112">
        <f>+C11*0.09</f>
        <v>3174.0299999999997</v>
      </c>
      <c r="H21" s="112">
        <v>10907</v>
      </c>
      <c r="I21" s="497">
        <f>+K21-100</f>
        <v>118221</v>
      </c>
      <c r="J21" s="464">
        <f>+C11*5.07</f>
        <v>178803.69</v>
      </c>
      <c r="K21" s="465">
        <f>+ROUND(J21-C21,0)</f>
        <v>118321</v>
      </c>
      <c r="L21" s="465"/>
      <c r="M21" s="498"/>
      <c r="N21" s="499"/>
      <c r="O21" s="513"/>
      <c r="P21" s="504"/>
      <c r="R21" s="107"/>
      <c r="S21" s="504"/>
    </row>
    <row r="22" spans="1:19" s="108" customFormat="1" ht="16.5" customHeight="1" thickBot="1">
      <c r="A22" s="520" t="s">
        <v>120</v>
      </c>
      <c r="B22" s="337" t="s">
        <v>9</v>
      </c>
      <c r="C22" s="423">
        <f>ROUND(C12*4.82,0)</f>
        <v>31210</v>
      </c>
      <c r="D22" s="124">
        <f>+C22-E22-F22</f>
        <v>25086</v>
      </c>
      <c r="E22" s="124">
        <v>1606</v>
      </c>
      <c r="F22" s="124">
        <v>4518</v>
      </c>
      <c r="G22" s="124"/>
      <c r="H22" s="124"/>
      <c r="I22" s="124"/>
      <c r="J22" s="442"/>
      <c r="L22" s="503"/>
      <c r="R22" s="503"/>
      <c r="S22" s="505"/>
    </row>
    <row r="23" spans="1:10" ht="14.25" customHeight="1" thickBot="1">
      <c r="A23" s="338"/>
      <c r="B23" s="182"/>
      <c r="C23" s="261"/>
      <c r="D23" s="168"/>
      <c r="E23" s="168"/>
      <c r="F23" s="262"/>
      <c r="G23" s="168"/>
      <c r="H23" s="168"/>
      <c r="I23" s="170"/>
      <c r="J23" s="309"/>
    </row>
    <row r="24" spans="1:12" ht="44.25" customHeight="1">
      <c r="A24" s="600" t="s">
        <v>0</v>
      </c>
      <c r="B24" s="602" t="s">
        <v>1</v>
      </c>
      <c r="C24" s="593" t="s">
        <v>45</v>
      </c>
      <c r="D24" s="593" t="s">
        <v>67</v>
      </c>
      <c r="E24" s="593" t="s">
        <v>26</v>
      </c>
      <c r="F24" s="593" t="s">
        <v>40</v>
      </c>
      <c r="G24" s="593" t="s">
        <v>27</v>
      </c>
      <c r="H24" s="593" t="s">
        <v>28</v>
      </c>
      <c r="I24" s="593" t="s">
        <v>37</v>
      </c>
      <c r="J24" s="576" t="s">
        <v>29</v>
      </c>
      <c r="L24" s="28"/>
    </row>
    <row r="25" spans="1:10" ht="87.75" customHeight="1" thickBot="1">
      <c r="A25" s="601"/>
      <c r="B25" s="603"/>
      <c r="C25" s="594"/>
      <c r="D25" s="594"/>
      <c r="E25" s="594"/>
      <c r="F25" s="594"/>
      <c r="G25" s="594"/>
      <c r="H25" s="594"/>
      <c r="I25" s="594"/>
      <c r="J25" s="577"/>
    </row>
    <row r="26" spans="1:12" ht="16.5" customHeight="1" thickBot="1">
      <c r="A26" s="340">
        <v>1</v>
      </c>
      <c r="B26" s="301">
        <v>2</v>
      </c>
      <c r="C26" s="263">
        <v>3</v>
      </c>
      <c r="D26" s="263">
        <v>4</v>
      </c>
      <c r="E26" s="263">
        <v>5</v>
      </c>
      <c r="F26" s="263">
        <v>6</v>
      </c>
      <c r="G26" s="263">
        <v>7</v>
      </c>
      <c r="H26" s="263">
        <v>8</v>
      </c>
      <c r="I26" s="263">
        <v>9</v>
      </c>
      <c r="J26" s="263">
        <v>9</v>
      </c>
      <c r="K26" s="515"/>
      <c r="L26" s="515"/>
    </row>
    <row r="27" spans="1:12" ht="16.5" customHeight="1">
      <c r="A27" s="341" t="s">
        <v>34</v>
      </c>
      <c r="B27" s="329"/>
      <c r="C27" s="297"/>
      <c r="D27" s="297"/>
      <c r="E27" s="297"/>
      <c r="F27" s="297"/>
      <c r="G27" s="297"/>
      <c r="H27" s="297"/>
      <c r="I27" s="297"/>
      <c r="J27" s="297"/>
      <c r="K27" s="515"/>
      <c r="L27" s="515"/>
    </row>
    <row r="28" spans="1:13" s="6" customFormat="1" ht="12" customHeight="1">
      <c r="A28" s="344" t="s">
        <v>35</v>
      </c>
      <c r="B28" s="319" t="s">
        <v>11</v>
      </c>
      <c r="C28" s="276">
        <f>+D28+J28</f>
        <v>9.020364635699444</v>
      </c>
      <c r="D28" s="81">
        <f>E28+F28+G28+H28+I28</f>
        <v>2.7800000000000002</v>
      </c>
      <c r="E28" s="81">
        <f>ROUND(D18/C8,2)</f>
        <v>0.65</v>
      </c>
      <c r="F28" s="81">
        <f>ROUND(E18/C8,2)</f>
        <v>0.25</v>
      </c>
      <c r="G28" s="81">
        <f>ROUND(F18/C8,2)</f>
        <v>0.7</v>
      </c>
      <c r="H28" s="81">
        <f>ROUND(G18/C8,2)</f>
        <v>0.19</v>
      </c>
      <c r="I28" s="81">
        <f>ROUND(H18/C8,2)</f>
        <v>0.99</v>
      </c>
      <c r="J28" s="81">
        <f>I18/C8</f>
        <v>6.240364635699444</v>
      </c>
      <c r="K28" s="516">
        <v>9.02</v>
      </c>
      <c r="L28" s="517">
        <f>+K28-C28</f>
        <v>-0.00036463569944444885</v>
      </c>
      <c r="M28" s="462"/>
    </row>
    <row r="29" spans="1:13" s="6" customFormat="1" ht="12" customHeight="1">
      <c r="A29" s="344" t="s">
        <v>146</v>
      </c>
      <c r="B29" s="319" t="s">
        <v>11</v>
      </c>
      <c r="C29" s="276">
        <f>+D29+J29</f>
        <v>4.143858267716536</v>
      </c>
      <c r="D29" s="81">
        <f>E29+F29+G29+H29+I29</f>
        <v>1.26</v>
      </c>
      <c r="E29" s="81">
        <f>ROUND(D19/C9,2)</f>
        <v>0.26</v>
      </c>
      <c r="F29" s="81">
        <f>ROUND(E19/C9,2)</f>
        <v>0.25</v>
      </c>
      <c r="G29" s="81">
        <f>ROUND(F19/C9,2)</f>
        <v>0.7</v>
      </c>
      <c r="H29" s="81">
        <f>ROUND(G19/C9,2)</f>
        <v>0.05</v>
      </c>
      <c r="I29" s="81">
        <f>ROUND(H19/C9,2)</f>
        <v>0</v>
      </c>
      <c r="J29" s="81">
        <f>I19/C9</f>
        <v>2.8838582677165356</v>
      </c>
      <c r="K29" s="516">
        <v>4.14</v>
      </c>
      <c r="L29" s="517">
        <f>+K29-C29</f>
        <v>-0.00385826771653619</v>
      </c>
      <c r="M29" s="462"/>
    </row>
    <row r="30" spans="1:13" s="6" customFormat="1" ht="12" customHeight="1">
      <c r="A30" s="347" t="s">
        <v>36</v>
      </c>
      <c r="B30" s="319" t="s">
        <v>11</v>
      </c>
      <c r="C30" s="253">
        <f>D30+J30</f>
        <v>21.714784053156144</v>
      </c>
      <c r="D30" s="81">
        <f>E30+F30+G30+H30+I30</f>
        <v>6.9</v>
      </c>
      <c r="E30" s="81">
        <f>ROUND(D20/C10,2)</f>
        <v>0.78</v>
      </c>
      <c r="F30" s="81">
        <f>ROUND(E20/C10,2)</f>
        <v>0.25</v>
      </c>
      <c r="G30" s="81">
        <f>ROUND(F20/C10,2)</f>
        <v>0.7</v>
      </c>
      <c r="H30" s="81">
        <f>ROUND(G20/C10,2)</f>
        <v>3.67</v>
      </c>
      <c r="I30" s="81">
        <f>ROUND(H20/C10,2)</f>
        <v>1.5</v>
      </c>
      <c r="J30" s="81">
        <f>I20/C10</f>
        <v>14.814784053156146</v>
      </c>
      <c r="K30" s="516">
        <v>21.71</v>
      </c>
      <c r="L30" s="517">
        <f>+K30-C30</f>
        <v>-0.004784053156143386</v>
      </c>
      <c r="M30" s="462"/>
    </row>
    <row r="31" spans="1:13" s="6" customFormat="1" ht="12" customHeight="1">
      <c r="A31" s="347" t="str">
        <f>A21</f>
        <v>"Столичен автотранспорт" ЕАД</v>
      </c>
      <c r="B31" s="319" t="s">
        <v>11</v>
      </c>
      <c r="C31" s="253">
        <f>D31+J31</f>
        <v>5.0721705843990135</v>
      </c>
      <c r="D31" s="81">
        <f>E31+F31+G31+H31+I31</f>
        <v>1.72</v>
      </c>
      <c r="E31" s="81">
        <f>ROUND(D21/C11,2)</f>
        <v>0.37</v>
      </c>
      <c r="F31" s="81">
        <f>ROUND(E21/C11,2)</f>
        <v>0.25</v>
      </c>
      <c r="G31" s="81">
        <f>ROUND(F21/C11,2)</f>
        <v>0.7</v>
      </c>
      <c r="H31" s="81">
        <f>ROUND(G21/C11,2)</f>
        <v>0.09</v>
      </c>
      <c r="I31" s="81">
        <f>ROUND(H21/C11,2)</f>
        <v>0.31</v>
      </c>
      <c r="J31" s="81">
        <f>I21/C11</f>
        <v>3.3521705843990133</v>
      </c>
      <c r="K31" s="516">
        <v>5.07</v>
      </c>
      <c r="L31" s="517">
        <f>+K31-C31</f>
        <v>-0.0021705843990131868</v>
      </c>
      <c r="M31" s="462"/>
    </row>
    <row r="32" spans="1:12" s="6" customFormat="1" ht="12" customHeight="1" thickBot="1">
      <c r="A32" s="349" t="str">
        <f>A22</f>
        <v>"MTK Гроуп" ООД</v>
      </c>
      <c r="B32" s="193" t="s">
        <v>11</v>
      </c>
      <c r="C32" s="268">
        <f>+D32+J32</f>
        <v>4.82</v>
      </c>
      <c r="D32" s="82">
        <f>+E32+F32+G32</f>
        <v>4.82</v>
      </c>
      <c r="E32" s="82">
        <f>ROUND(D22/C12,2)</f>
        <v>3.87</v>
      </c>
      <c r="F32" s="82">
        <f>ROUND(E22/C12,2)</f>
        <v>0.25</v>
      </c>
      <c r="G32" s="82">
        <f>ROUND(F22/C12,2)</f>
        <v>0.7</v>
      </c>
      <c r="H32" s="269"/>
      <c r="I32" s="268"/>
      <c r="J32" s="268"/>
      <c r="K32" s="295"/>
      <c r="L32" s="295"/>
    </row>
    <row r="33" spans="1:10" ht="14.25" customHeight="1" thickBot="1">
      <c r="A33" s="350"/>
      <c r="B33" s="351"/>
      <c r="C33" s="270"/>
      <c r="D33" s="439"/>
      <c r="E33" s="389"/>
      <c r="F33" s="389"/>
      <c r="G33" s="389"/>
      <c r="H33" s="389"/>
      <c r="I33" s="389"/>
      <c r="J33" s="389"/>
    </row>
    <row r="34" spans="1:10" ht="19.5" customHeight="1">
      <c r="A34" s="352" t="s">
        <v>12</v>
      </c>
      <c r="B34" s="353" t="s">
        <v>9</v>
      </c>
      <c r="C34" s="271">
        <f>C35+C37+C40+C42</f>
        <v>178500.44</v>
      </c>
      <c r="D34" s="448"/>
      <c r="E34" s="449"/>
      <c r="F34" s="449"/>
      <c r="G34" s="449"/>
      <c r="H34" s="449"/>
      <c r="I34" s="449"/>
      <c r="J34" s="449"/>
    </row>
    <row r="35" spans="1:11" ht="16.5" customHeight="1">
      <c r="A35" s="307" t="s">
        <v>18</v>
      </c>
      <c r="B35" s="148" t="s">
        <v>9</v>
      </c>
      <c r="C35" s="120">
        <f>C36</f>
        <v>53321</v>
      </c>
      <c r="D35" s="380"/>
      <c r="E35" s="449"/>
      <c r="F35" s="450"/>
      <c r="G35" s="449"/>
      <c r="H35" s="449"/>
      <c r="I35" s="449"/>
      <c r="J35" s="449"/>
      <c r="K35" s="440"/>
    </row>
    <row r="36" spans="1:11" ht="12.75" customHeight="1">
      <c r="A36" s="318" t="s">
        <v>136</v>
      </c>
      <c r="B36" s="319" t="s">
        <v>9</v>
      </c>
      <c r="C36" s="275">
        <f>+D17</f>
        <v>53321</v>
      </c>
      <c r="D36" s="466" t="s">
        <v>182</v>
      </c>
      <c r="E36" s="220"/>
      <c r="F36" s="220"/>
      <c r="G36" s="449"/>
      <c r="H36" s="492" t="s">
        <v>179</v>
      </c>
      <c r="I36" s="451"/>
      <c r="J36" s="395"/>
      <c r="K36" s="440">
        <f>+C36/C34</f>
        <v>0.2987163505031136</v>
      </c>
    </row>
    <row r="37" spans="1:11" ht="12.75" customHeight="1">
      <c r="A37" s="355" t="s">
        <v>13</v>
      </c>
      <c r="B37" s="319" t="s">
        <v>9</v>
      </c>
      <c r="C37" s="356">
        <f>C38</f>
        <v>45862</v>
      </c>
      <c r="D37" s="382"/>
      <c r="E37" s="452"/>
      <c r="F37" s="452"/>
      <c r="G37" s="453"/>
      <c r="H37" s="453"/>
      <c r="I37" s="454"/>
      <c r="J37" s="452"/>
      <c r="K37" s="440"/>
    </row>
    <row r="38" spans="1:11" ht="15" customHeight="1">
      <c r="A38" s="357" t="s">
        <v>31</v>
      </c>
      <c r="B38" s="319" t="s">
        <v>9</v>
      </c>
      <c r="C38" s="358">
        <f>+F17</f>
        <v>45862</v>
      </c>
      <c r="D38" s="466" t="s">
        <v>183</v>
      </c>
      <c r="E38" s="455"/>
      <c r="F38" s="452"/>
      <c r="G38" s="453"/>
      <c r="H38" s="492" t="s">
        <v>180</v>
      </c>
      <c r="I38" s="454"/>
      <c r="J38" s="452"/>
      <c r="K38" s="440">
        <f>+C38/C34</f>
        <v>0.2569293386615742</v>
      </c>
    </row>
    <row r="39" spans="1:12" ht="12" customHeight="1" hidden="1">
      <c r="A39" s="357" t="s">
        <v>14</v>
      </c>
      <c r="B39" s="319" t="s">
        <v>9</v>
      </c>
      <c r="C39" s="358"/>
      <c r="D39" s="383"/>
      <c r="E39" s="469"/>
      <c r="F39" s="470"/>
      <c r="G39" s="469"/>
      <c r="H39" s="493" t="s">
        <v>164</v>
      </c>
      <c r="I39" s="469"/>
      <c r="J39" s="469"/>
      <c r="K39" s="506"/>
      <c r="L39" s="471"/>
    </row>
    <row r="40" spans="1:12" ht="13.5" customHeight="1">
      <c r="A40" s="355" t="s">
        <v>15</v>
      </c>
      <c r="B40" s="319" t="s">
        <v>9</v>
      </c>
      <c r="C40" s="356">
        <f>C41</f>
        <v>16301</v>
      </c>
      <c r="D40" s="382"/>
      <c r="E40" s="491"/>
      <c r="F40" s="472"/>
      <c r="G40" s="473"/>
      <c r="H40" s="493"/>
      <c r="I40" s="474"/>
      <c r="J40" s="469"/>
      <c r="K40" s="506"/>
      <c r="L40" s="471"/>
    </row>
    <row r="41" spans="1:12" ht="12" customHeight="1">
      <c r="A41" s="318" t="s">
        <v>42</v>
      </c>
      <c r="B41" s="319" t="s">
        <v>9</v>
      </c>
      <c r="C41" s="275">
        <f>+E17</f>
        <v>16301</v>
      </c>
      <c r="D41" s="466" t="s">
        <v>169</v>
      </c>
      <c r="E41" s="491"/>
      <c r="F41" s="472"/>
      <c r="G41" s="475"/>
      <c r="H41" s="492" t="s">
        <v>181</v>
      </c>
      <c r="I41" s="476"/>
      <c r="J41" s="469"/>
      <c r="K41" s="458">
        <f>+C41/C34</f>
        <v>0.0913219037443269</v>
      </c>
      <c r="L41" s="471"/>
    </row>
    <row r="42" spans="1:12" ht="15" customHeight="1">
      <c r="A42" s="355" t="s">
        <v>16</v>
      </c>
      <c r="B42" s="319" t="s">
        <v>9</v>
      </c>
      <c r="C42" s="356">
        <f>C43+C44+C45</f>
        <v>63016.44</v>
      </c>
      <c r="D42" s="382"/>
      <c r="E42" s="475"/>
      <c r="F42" s="477"/>
      <c r="G42" s="478"/>
      <c r="H42" s="475"/>
      <c r="I42" s="479"/>
      <c r="J42" s="480"/>
      <c r="K42" s="458">
        <f>+C42/C34</f>
        <v>0.3530324070909853</v>
      </c>
      <c r="L42" s="471"/>
    </row>
    <row r="43" spans="1:12" s="6" customFormat="1" ht="12" customHeight="1">
      <c r="A43" s="361" t="s">
        <v>4</v>
      </c>
      <c r="B43" s="319" t="s">
        <v>9</v>
      </c>
      <c r="C43" s="275">
        <f>+G18+G19+H18+H19</f>
        <v>17815.010000000002</v>
      </c>
      <c r="D43" s="381"/>
      <c r="E43" s="475"/>
      <c r="F43" s="477"/>
      <c r="G43" s="478"/>
      <c r="H43" s="475"/>
      <c r="I43" s="479"/>
      <c r="J43" s="480"/>
      <c r="K43" s="507"/>
      <c r="L43" s="481"/>
    </row>
    <row r="44" spans="1:12" s="6" customFormat="1" ht="12" customHeight="1">
      <c r="A44" s="361" t="s">
        <v>5</v>
      </c>
      <c r="B44" s="319" t="s">
        <v>9</v>
      </c>
      <c r="C44" s="275">
        <f>+G21+H21</f>
        <v>14081.029999999999</v>
      </c>
      <c r="D44" s="183"/>
      <c r="E44" s="475"/>
      <c r="F44" s="477"/>
      <c r="G44" s="478"/>
      <c r="H44" s="475"/>
      <c r="I44" s="479"/>
      <c r="J44" s="480"/>
      <c r="K44" s="507"/>
      <c r="L44" s="481"/>
    </row>
    <row r="45" spans="1:12" s="6" customFormat="1" ht="12" customHeight="1" thickBot="1">
      <c r="A45" s="363" t="s">
        <v>10</v>
      </c>
      <c r="B45" s="193" t="s">
        <v>9</v>
      </c>
      <c r="C45" s="364">
        <f>+G20+H20</f>
        <v>31120.399999999998</v>
      </c>
      <c r="D45" s="183"/>
      <c r="E45" s="475"/>
      <c r="F45" s="477"/>
      <c r="G45" s="494"/>
      <c r="H45" s="475"/>
      <c r="I45" s="479"/>
      <c r="J45" s="480"/>
      <c r="K45" s="481"/>
      <c r="L45" s="481"/>
    </row>
    <row r="46" spans="1:12" s="6" customFormat="1" ht="12" customHeight="1" thickBot="1">
      <c r="A46" s="351"/>
      <c r="B46" s="182"/>
      <c r="C46" s="183"/>
      <c r="D46" s="183"/>
      <c r="E46" s="475"/>
      <c r="F46" s="477"/>
      <c r="G46" s="494"/>
      <c r="H46" s="475"/>
      <c r="I46" s="477"/>
      <c r="J46" s="482"/>
      <c r="K46" s="481"/>
      <c r="L46" s="481"/>
    </row>
    <row r="47" spans="1:12" s="6" customFormat="1" ht="27.75" customHeight="1">
      <c r="A47" s="165" t="s">
        <v>124</v>
      </c>
      <c r="B47" s="166"/>
      <c r="C47" s="167"/>
      <c r="D47" s="183"/>
      <c r="E47" s="483"/>
      <c r="F47" s="483"/>
      <c r="G47" s="495"/>
      <c r="H47" s="485"/>
      <c r="I47" s="484"/>
      <c r="J47" s="482"/>
      <c r="K47" s="481"/>
      <c r="L47" s="481"/>
    </row>
    <row r="48" spans="1:12" s="6" customFormat="1" ht="28.5" customHeight="1">
      <c r="A48" s="147" t="s">
        <v>55</v>
      </c>
      <c r="B48" s="171" t="s">
        <v>9</v>
      </c>
      <c r="C48" s="172">
        <v>39364</v>
      </c>
      <c r="D48" s="183"/>
      <c r="E48" s="486"/>
      <c r="F48" s="487"/>
      <c r="G48" s="488"/>
      <c r="H48" s="489"/>
      <c r="I48" s="490"/>
      <c r="J48" s="482"/>
      <c r="K48" s="481"/>
      <c r="L48" s="481"/>
    </row>
    <row r="49" spans="1:10" s="6" customFormat="1" ht="28.5" customHeight="1">
      <c r="A49" s="147" t="s">
        <v>56</v>
      </c>
      <c r="B49" s="148" t="s">
        <v>9</v>
      </c>
      <c r="C49" s="116">
        <f>15759+1930</f>
        <v>17689</v>
      </c>
      <c r="D49" s="384"/>
      <c r="E49" s="446"/>
      <c r="F49" s="444"/>
      <c r="G49" s="445"/>
      <c r="H49" s="447"/>
      <c r="I49" s="443"/>
      <c r="J49" s="443"/>
    </row>
    <row r="50" spans="1:10" s="6" customFormat="1" ht="15">
      <c r="A50" s="147" t="s">
        <v>126</v>
      </c>
      <c r="B50" s="148" t="s">
        <v>9</v>
      </c>
      <c r="C50" s="116">
        <f>12*756</f>
        <v>9072</v>
      </c>
      <c r="D50" s="183"/>
      <c r="E50" s="443"/>
      <c r="F50" s="444"/>
      <c r="G50" s="445"/>
      <c r="H50" s="447"/>
      <c r="I50" s="443"/>
      <c r="J50" s="443"/>
    </row>
    <row r="51" spans="1:10" s="6" customFormat="1" ht="28.5" customHeight="1">
      <c r="A51" s="175" t="s">
        <v>162</v>
      </c>
      <c r="B51" s="148" t="s">
        <v>9</v>
      </c>
      <c r="C51" s="176">
        <f>16883+11138</f>
        <v>28021</v>
      </c>
      <c r="D51" s="384"/>
      <c r="E51" s="429"/>
      <c r="F51" s="309"/>
      <c r="G51" s="433"/>
      <c r="H51" s="365"/>
      <c r="I51" s="309"/>
      <c r="J51" s="309"/>
    </row>
    <row r="52" spans="1:10" s="6" customFormat="1" ht="28.5" customHeight="1">
      <c r="A52" s="175" t="s">
        <v>44</v>
      </c>
      <c r="B52" s="148" t="s">
        <v>9</v>
      </c>
      <c r="C52" s="176">
        <v>1067</v>
      </c>
      <c r="D52" s="366"/>
      <c r="E52" s="188"/>
      <c r="F52" s="309"/>
      <c r="G52" s="433"/>
      <c r="H52" s="365"/>
      <c r="I52" s="309"/>
      <c r="J52" s="309"/>
    </row>
    <row r="53" spans="1:10" s="6" customFormat="1" ht="28.5" customHeight="1" thickBot="1">
      <c r="A53" s="178" t="s">
        <v>53</v>
      </c>
      <c r="B53" s="179"/>
      <c r="C53" s="180">
        <v>37040</v>
      </c>
      <c r="D53" s="384"/>
      <c r="E53" s="429"/>
      <c r="F53" s="309"/>
      <c r="G53" s="433"/>
      <c r="H53" s="365"/>
      <c r="I53" s="309"/>
      <c r="J53" s="309"/>
    </row>
    <row r="54" spans="1:10" s="6" customFormat="1" ht="12" customHeight="1" thickBot="1">
      <c r="A54" s="351"/>
      <c r="B54" s="182"/>
      <c r="C54" s="183"/>
      <c r="D54" s="366"/>
      <c r="E54" s="188"/>
      <c r="F54" s="309"/>
      <c r="G54" s="433"/>
      <c r="H54" s="365"/>
      <c r="I54" s="309"/>
      <c r="J54" s="309"/>
    </row>
    <row r="55" spans="1:10" s="168" customFormat="1" ht="21.75" customHeight="1" thickBot="1">
      <c r="A55" s="196" t="s">
        <v>151</v>
      </c>
      <c r="B55" s="369" t="s">
        <v>9</v>
      </c>
      <c r="C55" s="197">
        <f>C17+I17-C34-C59</f>
        <v>202696</v>
      </c>
      <c r="D55" s="511"/>
      <c r="E55" s="395"/>
      <c r="F55" s="395"/>
      <c r="G55" s="434"/>
      <c r="H55" s="395"/>
      <c r="I55" s="395"/>
      <c r="J55" s="395"/>
    </row>
    <row r="56" spans="1:10" s="170" customFormat="1" ht="11.25" customHeight="1">
      <c r="A56" s="181"/>
      <c r="B56" s="182"/>
      <c r="C56" s="183"/>
      <c r="D56" s="183"/>
      <c r="E56" s="435"/>
      <c r="F56" s="435"/>
      <c r="G56" s="436"/>
      <c r="H56" s="435"/>
      <c r="I56" s="435"/>
      <c r="J56" s="435"/>
    </row>
    <row r="57" spans="1:10" s="170" customFormat="1" ht="11.25" customHeight="1">
      <c r="A57" s="181"/>
      <c r="B57" s="182"/>
      <c r="C57" s="183"/>
      <c r="D57" s="366"/>
      <c r="E57" s="435"/>
      <c r="F57" s="435"/>
      <c r="G57" s="436"/>
      <c r="H57" s="435"/>
      <c r="I57" s="435"/>
      <c r="J57" s="435"/>
    </row>
    <row r="58" spans="1:196" s="170" customFormat="1" ht="15" customHeight="1" thickBot="1">
      <c r="A58" s="43"/>
      <c r="B58" s="43"/>
      <c r="C58" s="43"/>
      <c r="D58" s="427"/>
      <c r="E58" s="427"/>
      <c r="F58" s="427"/>
      <c r="G58" s="427"/>
      <c r="H58" s="467"/>
      <c r="I58" s="427"/>
      <c r="J58" s="427"/>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row>
    <row r="59" spans="1:10" s="168" customFormat="1" ht="38.25" customHeight="1" thickBot="1">
      <c r="A59" s="184" t="s">
        <v>128</v>
      </c>
      <c r="B59" s="185" t="s">
        <v>9</v>
      </c>
      <c r="C59" s="186">
        <f>C60+C61</f>
        <v>106600</v>
      </c>
      <c r="D59" s="460"/>
      <c r="E59" s="426"/>
      <c r="F59" s="425"/>
      <c r="G59" s="424"/>
      <c r="H59" s="468"/>
      <c r="I59" s="425"/>
      <c r="J59" s="425"/>
    </row>
    <row r="60" spans="1:196" s="170" customFormat="1" ht="14.25" customHeight="1">
      <c r="A60" s="189" t="s">
        <v>68</v>
      </c>
      <c r="B60" s="190" t="s">
        <v>9</v>
      </c>
      <c r="C60" s="191">
        <v>15000</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row>
    <row r="61" spans="1:196" s="170" customFormat="1" ht="14.25" customHeight="1" thickBot="1">
      <c r="A61" s="192" t="s">
        <v>30</v>
      </c>
      <c r="B61" s="193" t="s">
        <v>9</v>
      </c>
      <c r="C61" s="194">
        <v>91600</v>
      </c>
      <c r="D61" s="431"/>
      <c r="E61" s="431"/>
      <c r="F61" s="44"/>
      <c r="G61" s="431"/>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96" s="170" customFormat="1" ht="14.25" customHeight="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row>
    <row r="63" spans="1:196" s="170" customFormat="1" ht="14.25">
      <c r="A63" s="605" t="s">
        <v>135</v>
      </c>
      <c r="B63" s="605"/>
      <c r="C63" s="605"/>
      <c r="D63" s="605"/>
      <c r="E63" s="605"/>
      <c r="F63" s="605"/>
      <c r="G63" s="605"/>
      <c r="H63" s="605"/>
      <c r="I63" s="605"/>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row>
    <row r="64" spans="1:196" s="170" customFormat="1" ht="27" customHeight="1">
      <c r="A64" s="605" t="s">
        <v>175</v>
      </c>
      <c r="B64" s="605"/>
      <c r="C64" s="605"/>
      <c r="D64" s="605"/>
      <c r="E64" s="605"/>
      <c r="F64" s="605"/>
      <c r="G64" s="605"/>
      <c r="H64" s="605"/>
      <c r="I64" s="605"/>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row>
    <row r="65" spans="1:196" s="170" customFormat="1" ht="14.25">
      <c r="A65" s="605" t="s">
        <v>173</v>
      </c>
      <c r="B65" s="605"/>
      <c r="C65" s="605"/>
      <c r="D65" s="605"/>
      <c r="E65" s="605"/>
      <c r="F65" s="605"/>
      <c r="G65" s="605"/>
      <c r="H65" s="605"/>
      <c r="I65" s="605"/>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row>
    <row r="66" spans="1:196" s="457" customFormat="1" ht="33" customHeight="1">
      <c r="A66" s="626" t="s">
        <v>174</v>
      </c>
      <c r="B66" s="626"/>
      <c r="C66" s="626"/>
      <c r="D66" s="626"/>
      <c r="E66" s="626"/>
      <c r="F66" s="626"/>
      <c r="G66" s="626"/>
      <c r="H66" s="626"/>
      <c r="I66" s="626"/>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c r="FY66" s="181"/>
      <c r="FZ66" s="181"/>
      <c r="GA66" s="181"/>
      <c r="GB66" s="181"/>
      <c r="GC66" s="181"/>
      <c r="GD66" s="181"/>
      <c r="GE66" s="181"/>
      <c r="GF66" s="181"/>
      <c r="GG66" s="181"/>
      <c r="GH66" s="181"/>
      <c r="GI66" s="181"/>
      <c r="GJ66" s="181"/>
      <c r="GK66" s="181"/>
      <c r="GL66" s="181"/>
      <c r="GM66" s="181"/>
      <c r="GN66" s="181"/>
    </row>
    <row r="67" spans="1:9" s="170" customFormat="1" ht="44.25" customHeight="1">
      <c r="A67" s="626" t="s">
        <v>147</v>
      </c>
      <c r="B67" s="626"/>
      <c r="C67" s="626"/>
      <c r="D67" s="626"/>
      <c r="E67" s="626"/>
      <c r="F67" s="626"/>
      <c r="G67" s="626"/>
      <c r="H67" s="626"/>
      <c r="I67" s="626"/>
    </row>
    <row r="68" spans="1:9" s="26" customFormat="1" ht="57" customHeight="1">
      <c r="A68" s="627" t="s">
        <v>150</v>
      </c>
      <c r="B68" s="627"/>
      <c r="C68" s="627"/>
      <c r="D68" s="627"/>
      <c r="E68" s="627"/>
      <c r="F68" s="627"/>
      <c r="G68" s="627"/>
      <c r="H68" s="627"/>
      <c r="I68" s="627"/>
    </row>
    <row r="69" spans="1:3" s="26" customFormat="1" ht="65.25" customHeight="1">
      <c r="A69" s="43"/>
      <c r="B69" s="43"/>
      <c r="C69" s="50"/>
    </row>
    <row r="70" spans="1:6" s="26" customFormat="1" ht="15">
      <c r="A70" s="43"/>
      <c r="B70" s="44"/>
      <c r="C70" s="87"/>
      <c r="E70" s="187" t="s">
        <v>50</v>
      </c>
      <c r="F70" s="168"/>
    </row>
    <row r="71" spans="1:6" s="26" customFormat="1" ht="15">
      <c r="A71" s="48"/>
      <c r="B71" s="49"/>
      <c r="C71" s="149"/>
      <c r="E71" s="44"/>
      <c r="F71" s="44" t="s">
        <v>172</v>
      </c>
    </row>
    <row r="72" spans="1:3" s="26" customFormat="1" ht="15">
      <c r="A72" s="48"/>
      <c r="B72" s="49"/>
      <c r="C72" s="150"/>
    </row>
    <row r="73" spans="1:2" s="26" customFormat="1" ht="15">
      <c r="A73" s="43"/>
      <c r="B73" s="43"/>
    </row>
    <row r="74" spans="1:3" s="26" customFormat="1" ht="14.25">
      <c r="A74" s="573"/>
      <c r="B74" s="573"/>
      <c r="C74" s="87"/>
    </row>
    <row r="75" spans="1:3" s="26" customFormat="1" ht="12.75">
      <c r="A75" s="217"/>
      <c r="C75" s="152"/>
    </row>
    <row r="76" s="26" customFormat="1" ht="12.75"/>
    <row r="77" s="26" customFormat="1" ht="12.75"/>
  </sheetData>
  <sheetProtection/>
  <mergeCells count="25">
    <mergeCell ref="A67:I67"/>
    <mergeCell ref="A68:I68"/>
    <mergeCell ref="A74:B74"/>
    <mergeCell ref="I24:I25"/>
    <mergeCell ref="J24:J25"/>
    <mergeCell ref="A63:I63"/>
    <mergeCell ref="A64:I64"/>
    <mergeCell ref="A65:I65"/>
    <mergeCell ref="A66:I66"/>
    <mergeCell ref="J16:J17"/>
    <mergeCell ref="K16:K17"/>
    <mergeCell ref="A24:A25"/>
    <mergeCell ref="B24:B25"/>
    <mergeCell ref="C24:C25"/>
    <mergeCell ref="D24:D25"/>
    <mergeCell ref="E24:E25"/>
    <mergeCell ref="F24:F25"/>
    <mergeCell ref="G24:G25"/>
    <mergeCell ref="H24:H25"/>
    <mergeCell ref="A1:D1"/>
    <mergeCell ref="F1:H1"/>
    <mergeCell ref="A2:D2"/>
    <mergeCell ref="A4:D4"/>
    <mergeCell ref="C5:D5"/>
    <mergeCell ref="C6:D6"/>
  </mergeCells>
  <printOptions/>
  <pageMargins left="0.4330708661417323" right="0.2362204724409449" top="0.35433070866141736" bottom="0.35433070866141736" header="0.31496062992125984" footer="0.31496062992125984"/>
  <pageSetup fitToHeight="1" fitToWidth="1" horizontalDpi="600" verticalDpi="600" orientation="portrait" paperSize="9" scale="49" r:id="rId1"/>
</worksheet>
</file>

<file path=xl/worksheets/sheet15.xml><?xml version="1.0" encoding="utf-8"?>
<worksheet xmlns="http://schemas.openxmlformats.org/spreadsheetml/2006/main" xmlns:r="http://schemas.openxmlformats.org/officeDocument/2006/relationships">
  <sheetPr>
    <pageSetUpPr fitToPage="1"/>
  </sheetPr>
  <dimension ref="A1:GN77"/>
  <sheetViews>
    <sheetView showGridLines="0" zoomScalePageLayoutView="0" workbookViewId="0" topLeftCell="A1">
      <selection activeCell="L21" sqref="L21"/>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12.8515625" style="0" customWidth="1"/>
    <col min="13" max="13" width="10.421875" style="0" customWidth="1"/>
    <col min="14" max="14" width="11.421875" style="0" bestFit="1" customWidth="1"/>
    <col min="15" max="15" width="10.8515625" style="0" bestFit="1" customWidth="1"/>
    <col min="18" max="18" width="9.57421875" style="0" bestFit="1" customWidth="1"/>
  </cols>
  <sheetData>
    <row r="1" spans="1:10" ht="23.25" customHeight="1">
      <c r="A1" s="606" t="s">
        <v>20</v>
      </c>
      <c r="B1" s="606"/>
      <c r="C1" s="606"/>
      <c r="D1" s="606"/>
      <c r="E1" s="168"/>
      <c r="F1" s="613" t="s">
        <v>144</v>
      </c>
      <c r="G1" s="613"/>
      <c r="H1" s="613"/>
      <c r="I1" s="428"/>
      <c r="J1" s="428"/>
    </row>
    <row r="2" spans="1:10" ht="12.75" customHeight="1">
      <c r="A2" s="608" t="s">
        <v>160</v>
      </c>
      <c r="B2" s="608"/>
      <c r="C2" s="608"/>
      <c r="D2" s="608"/>
      <c r="E2" s="168"/>
      <c r="F2" s="168"/>
      <c r="G2" s="428"/>
      <c r="H2" s="430"/>
      <c r="I2" s="430"/>
      <c r="J2" s="430"/>
    </row>
    <row r="3" spans="1:10" ht="12.75" customHeight="1">
      <c r="A3" s="298"/>
      <c r="B3" s="298"/>
      <c r="C3" s="298"/>
      <c r="D3" s="298"/>
      <c r="E3" s="168"/>
      <c r="F3" s="168"/>
      <c r="G3" s="428"/>
      <c r="H3" s="430"/>
      <c r="I3" s="430"/>
      <c r="J3" s="430"/>
    </row>
    <row r="4" spans="1:10" ht="12.75" customHeight="1">
      <c r="A4" s="609"/>
      <c r="B4" s="609"/>
      <c r="C4" s="609"/>
      <c r="D4" s="609"/>
      <c r="E4" s="168"/>
      <c r="F4" s="168"/>
      <c r="G4" s="428"/>
      <c r="H4" s="428"/>
      <c r="I4" s="428"/>
      <c r="J4" s="428"/>
    </row>
    <row r="5" spans="1:10" ht="22.5" customHeight="1" thickBot="1">
      <c r="A5" s="299"/>
      <c r="B5" s="299"/>
      <c r="C5" s="616"/>
      <c r="D5" s="616"/>
      <c r="E5" s="168"/>
      <c r="F5" s="168"/>
      <c r="G5" s="428"/>
      <c r="H5" s="428"/>
      <c r="I5" s="428"/>
      <c r="J5" s="428"/>
    </row>
    <row r="6" spans="1:10" ht="37.5" customHeight="1" thickBot="1">
      <c r="A6" s="300" t="s">
        <v>0</v>
      </c>
      <c r="B6" s="301" t="s">
        <v>1</v>
      </c>
      <c r="C6" s="610" t="s">
        <v>161</v>
      </c>
      <c r="D6" s="611"/>
      <c r="E6" s="168"/>
      <c r="F6" s="302"/>
      <c r="G6" s="168"/>
      <c r="H6" s="168"/>
      <c r="I6" s="168"/>
      <c r="J6" s="302"/>
    </row>
    <row r="7" spans="1:10" ht="19.5" customHeight="1">
      <c r="A7" s="303" t="s">
        <v>2</v>
      </c>
      <c r="B7" s="304" t="s">
        <v>3</v>
      </c>
      <c r="C7" s="167" t="e">
        <f>SUM(C8:C13)</f>
        <v>#REF!</v>
      </c>
      <c r="D7" s="306" t="e">
        <f>SUM(D8:D13)</f>
        <v>#REF!</v>
      </c>
      <c r="E7" s="28"/>
      <c r="F7" s="168"/>
      <c r="G7" s="168"/>
      <c r="H7" s="168"/>
      <c r="I7" s="168"/>
      <c r="J7" s="168"/>
    </row>
    <row r="8" spans="1:10" s="6" customFormat="1" ht="21" customHeight="1">
      <c r="A8" s="307" t="s">
        <v>4</v>
      </c>
      <c r="B8" s="148" t="s">
        <v>3</v>
      </c>
      <c r="C8" s="120" t="e">
        <f>#REF!</f>
        <v>#REF!</v>
      </c>
      <c r="D8" s="308" t="e">
        <f aca="true" t="shared" si="0" ref="D8:D13">C8/$C$7</f>
        <v>#REF!</v>
      </c>
      <c r="E8" s="169"/>
      <c r="F8" s="437"/>
      <c r="G8" s="438"/>
      <c r="H8" s="412"/>
      <c r="I8" s="309"/>
      <c r="J8" s="310"/>
    </row>
    <row r="9" spans="1:10" s="6" customFormat="1" ht="21" customHeight="1">
      <c r="A9" s="307" t="s">
        <v>145</v>
      </c>
      <c r="B9" s="148" t="s">
        <v>3</v>
      </c>
      <c r="C9" s="120" t="e">
        <f>#REF!</f>
        <v>#REF!</v>
      </c>
      <c r="D9" s="308" t="e">
        <f t="shared" si="0"/>
        <v>#REF!</v>
      </c>
      <c r="E9" s="339"/>
      <c r="F9" s="437"/>
      <c r="G9" s="438"/>
      <c r="H9" s="412"/>
      <c r="I9" s="309"/>
      <c r="J9" s="310"/>
    </row>
    <row r="10" spans="1:10" s="6" customFormat="1" ht="21" customHeight="1">
      <c r="A10" s="307" t="s">
        <v>10</v>
      </c>
      <c r="B10" s="148" t="s">
        <v>3</v>
      </c>
      <c r="C10" s="120" t="e">
        <f>#REF!</f>
        <v>#REF!</v>
      </c>
      <c r="D10" s="308" t="e">
        <f t="shared" si="0"/>
        <v>#REF!</v>
      </c>
      <c r="E10" s="339"/>
      <c r="F10" s="437"/>
      <c r="G10" s="438"/>
      <c r="H10" s="309"/>
      <c r="I10" s="309"/>
      <c r="J10" s="309"/>
    </row>
    <row r="11" spans="1:10" s="6" customFormat="1" ht="21" customHeight="1">
      <c r="A11" s="307" t="s">
        <v>5</v>
      </c>
      <c r="B11" s="148" t="s">
        <v>3</v>
      </c>
      <c r="C11" s="120" t="e">
        <f>#REF!</f>
        <v>#REF!</v>
      </c>
      <c r="D11" s="308" t="e">
        <f t="shared" si="0"/>
        <v>#REF!</v>
      </c>
      <c r="E11" s="311"/>
      <c r="F11" s="437"/>
      <c r="G11" s="438"/>
      <c r="H11" s="309"/>
      <c r="I11" s="309"/>
      <c r="J11" s="309"/>
    </row>
    <row r="12" spans="1:10" s="6" customFormat="1" ht="21" customHeight="1">
      <c r="A12" s="312" t="s">
        <v>120</v>
      </c>
      <c r="B12" s="148" t="s">
        <v>3</v>
      </c>
      <c r="C12" s="120" t="e">
        <f>#REF!</f>
        <v>#REF!</v>
      </c>
      <c r="D12" s="308" t="e">
        <f t="shared" si="0"/>
        <v>#REF!</v>
      </c>
      <c r="E12" s="339"/>
      <c r="F12" s="437"/>
      <c r="G12" s="438"/>
      <c r="H12" s="309"/>
      <c r="I12" s="309"/>
      <c r="J12" s="309"/>
    </row>
    <row r="13" spans="1:10" ht="21" customHeight="1" thickBot="1">
      <c r="A13" s="419" t="s">
        <v>148</v>
      </c>
      <c r="B13" s="420" t="s">
        <v>3</v>
      </c>
      <c r="C13" s="423" t="e">
        <f>#REF!</f>
        <v>#REF!</v>
      </c>
      <c r="D13" s="317" t="e">
        <f t="shared" si="0"/>
        <v>#REF!</v>
      </c>
      <c r="E13" s="309"/>
      <c r="F13" s="437"/>
      <c r="G13" s="438"/>
      <c r="H13" s="168"/>
      <c r="I13" s="168"/>
      <c r="J13" s="395"/>
    </row>
    <row r="14" spans="1:10" ht="12" customHeight="1">
      <c r="A14" s="170"/>
      <c r="B14" s="170"/>
      <c r="C14" s="170"/>
      <c r="D14" s="168"/>
      <c r="E14" s="168"/>
      <c r="F14" s="321"/>
      <c r="G14" s="395"/>
      <c r="H14" s="395"/>
      <c r="I14" s="395"/>
      <c r="J14" s="395"/>
    </row>
    <row r="15" spans="1:10" ht="15.75" customHeight="1" thickBot="1">
      <c r="A15" s="456"/>
      <c r="B15" s="351"/>
      <c r="C15" s="457"/>
      <c r="D15" s="168"/>
      <c r="E15" s="168"/>
      <c r="F15" s="325"/>
      <c r="G15" s="325"/>
      <c r="H15" s="325"/>
      <c r="I15" s="326"/>
      <c r="J15" s="395"/>
    </row>
    <row r="16" spans="1:13" ht="100.5" customHeight="1" thickBot="1">
      <c r="A16" s="300" t="s">
        <v>0</v>
      </c>
      <c r="B16" s="301" t="s">
        <v>1</v>
      </c>
      <c r="C16" s="263" t="s">
        <v>24</v>
      </c>
      <c r="D16" s="263" t="s">
        <v>25</v>
      </c>
      <c r="E16" s="327" t="s">
        <v>41</v>
      </c>
      <c r="F16" s="263" t="s">
        <v>22</v>
      </c>
      <c r="G16" s="297" t="s">
        <v>38</v>
      </c>
      <c r="H16" s="297" t="s">
        <v>39</v>
      </c>
      <c r="I16" s="263" t="s">
        <v>23</v>
      </c>
      <c r="J16" s="463"/>
      <c r="K16" s="405"/>
      <c r="L16" s="405"/>
      <c r="M16" s="26"/>
    </row>
    <row r="17" spans="1:11" ht="16.5" customHeight="1" thickBot="1">
      <c r="A17" s="328">
        <v>1</v>
      </c>
      <c r="B17" s="329">
        <v>2</v>
      </c>
      <c r="C17" s="297">
        <v>3</v>
      </c>
      <c r="D17" s="297">
        <v>4</v>
      </c>
      <c r="E17" s="297">
        <v>5</v>
      </c>
      <c r="F17" s="297">
        <v>6</v>
      </c>
      <c r="G17" s="297">
        <v>7</v>
      </c>
      <c r="H17" s="297">
        <v>8</v>
      </c>
      <c r="I17" s="297">
        <v>9</v>
      </c>
      <c r="J17" s="628" t="s">
        <v>170</v>
      </c>
      <c r="K17" s="618" t="s">
        <v>171</v>
      </c>
    </row>
    <row r="18" spans="1:13" s="108" customFormat="1" ht="19.5" customHeight="1">
      <c r="A18" s="330" t="s">
        <v>33</v>
      </c>
      <c r="B18" s="304" t="s">
        <v>9</v>
      </c>
      <c r="C18" s="260" t="e">
        <f aca="true" t="shared" si="1" ref="C18:I18">SUM(C19:C24)</f>
        <v>#REF!</v>
      </c>
      <c r="D18" s="260" t="e">
        <f t="shared" si="1"/>
        <v>#REF!</v>
      </c>
      <c r="E18" s="260" t="e">
        <f t="shared" si="1"/>
        <v>#REF!</v>
      </c>
      <c r="F18" s="260" t="e">
        <f t="shared" si="1"/>
        <v>#REF!</v>
      </c>
      <c r="G18" s="260" t="e">
        <f t="shared" si="1"/>
        <v>#REF!</v>
      </c>
      <c r="H18" s="260" t="e">
        <f t="shared" si="1"/>
        <v>#REF!</v>
      </c>
      <c r="I18" s="496" t="e">
        <f t="shared" si="1"/>
        <v>#REF!</v>
      </c>
      <c r="J18" s="628"/>
      <c r="K18" s="618"/>
      <c r="L18" s="503"/>
      <c r="M18" s="503"/>
    </row>
    <row r="19" spans="1:19" s="114" customFormat="1" ht="21" customHeight="1">
      <c r="A19" s="307" t="s">
        <v>4</v>
      </c>
      <c r="B19" s="148" t="s">
        <v>9</v>
      </c>
      <c r="C19" s="112" t="e">
        <f>SUM(D19:H19)</f>
        <v>#REF!</v>
      </c>
      <c r="D19" s="112" t="e">
        <f>#REF!</f>
        <v>#REF!</v>
      </c>
      <c r="E19" s="112" t="e">
        <f>#REF!</f>
        <v>#REF!</v>
      </c>
      <c r="F19" s="112" t="e">
        <f>#REF!</f>
        <v>#REF!</v>
      </c>
      <c r="G19" s="112" t="e">
        <f>#REF!</f>
        <v>#REF!</v>
      </c>
      <c r="H19" s="112" t="e">
        <f>#REF!</f>
        <v>#REF!</v>
      </c>
      <c r="I19" s="497" t="e">
        <f>K19+100</f>
        <v>#REF!</v>
      </c>
      <c r="J19" s="464" t="e">
        <f>+ROUND(C8*N19,0)</f>
        <v>#REF!</v>
      </c>
      <c r="K19" s="465" t="e">
        <f>+ROUND(J19-C19,0)</f>
        <v>#REF!</v>
      </c>
      <c r="L19" s="510" t="e">
        <f>+#REF!</f>
        <v>#REF!</v>
      </c>
      <c r="M19" s="502" t="e">
        <f>L19*0.05</f>
        <v>#REF!</v>
      </c>
      <c r="N19" s="499" t="e">
        <f>L19-M19</f>
        <v>#REF!</v>
      </c>
      <c r="O19" s="513"/>
      <c r="P19" s="504"/>
      <c r="R19" s="107"/>
      <c r="S19" s="504"/>
    </row>
    <row r="20" spans="1:19" s="114" customFormat="1" ht="21" customHeight="1">
      <c r="A20" s="307" t="s">
        <v>145</v>
      </c>
      <c r="B20" s="148" t="s">
        <v>9</v>
      </c>
      <c r="C20" s="112" t="e">
        <f>SUM(D20:H20)</f>
        <v>#REF!</v>
      </c>
      <c r="D20" s="112" t="e">
        <f>#REF!</f>
        <v>#REF!</v>
      </c>
      <c r="E20" s="112" t="e">
        <f>#REF!</f>
        <v>#REF!</v>
      </c>
      <c r="F20" s="112" t="e">
        <f>#REF!</f>
        <v>#REF!</v>
      </c>
      <c r="G20" s="112" t="e">
        <f>#REF!</f>
        <v>#REF!</v>
      </c>
      <c r="H20" s="112" t="e">
        <f>#REF!</f>
        <v>#REF!</v>
      </c>
      <c r="I20" s="497" t="e">
        <f>K20</f>
        <v>#REF!</v>
      </c>
      <c r="J20" s="464" t="e">
        <f>+ROUND(C9*N20,0)</f>
        <v>#REF!</v>
      </c>
      <c r="K20" s="465" t="e">
        <f>+ROUND(J20-C20,0)</f>
        <v>#REF!</v>
      </c>
      <c r="L20" s="510" t="e">
        <f>+#REF!</f>
        <v>#REF!</v>
      </c>
      <c r="M20" s="502" t="e">
        <f>L20*0.05</f>
        <v>#REF!</v>
      </c>
      <c r="N20" s="499" t="e">
        <f>L20-M20</f>
        <v>#REF!</v>
      </c>
      <c r="O20" s="513"/>
      <c r="P20" s="504"/>
      <c r="R20" s="107"/>
      <c r="S20" s="504"/>
    </row>
    <row r="21" spans="1:19" s="114" customFormat="1" ht="21" customHeight="1">
      <c r="A21" s="307" t="s">
        <v>10</v>
      </c>
      <c r="B21" s="148" t="s">
        <v>9</v>
      </c>
      <c r="C21" s="112" t="e">
        <f>SUM(D21:H21)</f>
        <v>#REF!</v>
      </c>
      <c r="D21" s="112" t="e">
        <f>#REF!</f>
        <v>#REF!</v>
      </c>
      <c r="E21" s="112" t="e">
        <f>#REF!</f>
        <v>#REF!</v>
      </c>
      <c r="F21" s="112" t="e">
        <f>#REF!</f>
        <v>#REF!</v>
      </c>
      <c r="G21" s="112" t="e">
        <f>#REF!</f>
        <v>#REF!</v>
      </c>
      <c r="H21" s="112" t="e">
        <f>#REF!</f>
        <v>#REF!</v>
      </c>
      <c r="I21" s="497" t="e">
        <f>K21+50</f>
        <v>#REF!</v>
      </c>
      <c r="J21" s="464" t="e">
        <f>+ROUND(C10*N21,0)</f>
        <v>#REF!</v>
      </c>
      <c r="K21" s="465" t="e">
        <f>+ROUND(J21-C21,0)</f>
        <v>#REF!</v>
      </c>
      <c r="L21" s="510" t="e">
        <f>+#REF!</f>
        <v>#REF!</v>
      </c>
      <c r="M21" s="502" t="e">
        <f>L21*0.05</f>
        <v>#REF!</v>
      </c>
      <c r="N21" s="499" t="e">
        <f>L21-M21</f>
        <v>#REF!</v>
      </c>
      <c r="O21" s="513"/>
      <c r="P21" s="504"/>
      <c r="R21" s="107"/>
      <c r="S21" s="504"/>
    </row>
    <row r="22" spans="1:19" s="114" customFormat="1" ht="21" customHeight="1">
      <c r="A22" s="307" t="s">
        <v>5</v>
      </c>
      <c r="B22" s="148" t="s">
        <v>9</v>
      </c>
      <c r="C22" s="112" t="e">
        <f>SUM(D22:H22)</f>
        <v>#REF!</v>
      </c>
      <c r="D22" s="112" t="e">
        <f>#REF!</f>
        <v>#REF!</v>
      </c>
      <c r="E22" s="112" t="e">
        <f>#REF!</f>
        <v>#REF!</v>
      </c>
      <c r="F22" s="112" t="e">
        <f>#REF!</f>
        <v>#REF!</v>
      </c>
      <c r="G22" s="112" t="e">
        <f>#REF!</f>
        <v>#REF!</v>
      </c>
      <c r="H22" s="112" t="e">
        <f>#REF!</f>
        <v>#REF!</v>
      </c>
      <c r="I22" s="497" t="e">
        <f>K22+10</f>
        <v>#REF!</v>
      </c>
      <c r="J22" s="464" t="e">
        <f>+ROUND(C11*N22,0)</f>
        <v>#REF!</v>
      </c>
      <c r="K22" s="465" t="e">
        <f>+ROUND(J22-C22,0)</f>
        <v>#REF!</v>
      </c>
      <c r="L22" s="510" t="e">
        <f>+#REF!</f>
        <v>#REF!</v>
      </c>
      <c r="M22" s="502" t="e">
        <f>L22*0.05</f>
        <v>#REF!</v>
      </c>
      <c r="N22" s="499" t="e">
        <f>L22-M22</f>
        <v>#REF!</v>
      </c>
      <c r="O22" s="513"/>
      <c r="P22" s="504"/>
      <c r="R22" s="107"/>
      <c r="S22" s="504"/>
    </row>
    <row r="23" spans="1:19" s="108" customFormat="1" ht="16.5" customHeight="1">
      <c r="A23" s="312" t="s">
        <v>120</v>
      </c>
      <c r="B23" s="148" t="s">
        <v>9</v>
      </c>
      <c r="C23" s="120" t="e">
        <f>ROUND(C12*3,0)</f>
        <v>#REF!</v>
      </c>
      <c r="D23" s="112" t="e">
        <f>#REF!</f>
        <v>#REF!</v>
      </c>
      <c r="E23" s="112" t="e">
        <f>#REF!</f>
        <v>#REF!</v>
      </c>
      <c r="F23" s="112" t="e">
        <f>#REF!</f>
        <v>#REF!</v>
      </c>
      <c r="G23" s="112"/>
      <c r="H23" s="112"/>
      <c r="I23" s="112"/>
      <c r="J23" s="442"/>
      <c r="R23" s="503"/>
      <c r="S23" s="505"/>
    </row>
    <row r="24" spans="1:18" s="108" customFormat="1" ht="21" customHeight="1" thickBot="1">
      <c r="A24" s="422" t="str">
        <f>+A13</f>
        <v>"Еридатранс" ООД</v>
      </c>
      <c r="B24" s="337" t="s">
        <v>9</v>
      </c>
      <c r="C24" s="423" t="e">
        <f>ROUND(C13*2.57,0)</f>
        <v>#REF!</v>
      </c>
      <c r="D24" s="124" t="e">
        <f>#REF!</f>
        <v>#REF!</v>
      </c>
      <c r="E24" s="124" t="e">
        <f>#REF!</f>
        <v>#REF!</v>
      </c>
      <c r="F24" s="124" t="e">
        <f>#REF!</f>
        <v>#REF!</v>
      </c>
      <c r="G24" s="423"/>
      <c r="H24" s="423"/>
      <c r="I24" s="423"/>
      <c r="J24" s="441"/>
      <c r="R24" s="503"/>
    </row>
    <row r="25" spans="1:10" ht="14.25" customHeight="1" thickBot="1">
      <c r="A25" s="338"/>
      <c r="B25" s="182"/>
      <c r="C25" s="261"/>
      <c r="D25" s="168"/>
      <c r="E25" s="168"/>
      <c r="F25" s="262"/>
      <c r="G25" s="168"/>
      <c r="H25" s="168"/>
      <c r="I25" s="170"/>
      <c r="J25" s="309"/>
    </row>
    <row r="26" spans="1:12" ht="44.25" customHeight="1">
      <c r="A26" s="600" t="s">
        <v>0</v>
      </c>
      <c r="B26" s="602" t="s">
        <v>1</v>
      </c>
      <c r="C26" s="593" t="s">
        <v>45</v>
      </c>
      <c r="D26" s="593" t="s">
        <v>67</v>
      </c>
      <c r="E26" s="593" t="s">
        <v>26</v>
      </c>
      <c r="F26" s="593" t="s">
        <v>40</v>
      </c>
      <c r="G26" s="593" t="s">
        <v>27</v>
      </c>
      <c r="H26" s="593" t="s">
        <v>28</v>
      </c>
      <c r="I26" s="593" t="s">
        <v>37</v>
      </c>
      <c r="J26" s="576" t="s">
        <v>29</v>
      </c>
      <c r="L26" s="28"/>
    </row>
    <row r="27" spans="1:10" ht="87.75" customHeight="1" thickBot="1">
      <c r="A27" s="601"/>
      <c r="B27" s="603"/>
      <c r="C27" s="594"/>
      <c r="D27" s="594"/>
      <c r="E27" s="594"/>
      <c r="F27" s="594"/>
      <c r="G27" s="594"/>
      <c r="H27" s="594"/>
      <c r="I27" s="594"/>
      <c r="J27" s="577"/>
    </row>
    <row r="28" spans="1:10" ht="16.5" customHeight="1" thickBot="1">
      <c r="A28" s="340">
        <v>1</v>
      </c>
      <c r="B28" s="301">
        <v>2</v>
      </c>
      <c r="C28" s="263">
        <v>3</v>
      </c>
      <c r="D28" s="263">
        <v>4</v>
      </c>
      <c r="E28" s="263">
        <v>5</v>
      </c>
      <c r="F28" s="263">
        <v>6</v>
      </c>
      <c r="G28" s="263">
        <v>7</v>
      </c>
      <c r="H28" s="263">
        <v>8</v>
      </c>
      <c r="I28" s="263">
        <v>9</v>
      </c>
      <c r="J28" s="263">
        <v>9</v>
      </c>
    </row>
    <row r="29" spans="1:10" ht="16.5" customHeight="1">
      <c r="A29" s="341" t="s">
        <v>34</v>
      </c>
      <c r="B29" s="329"/>
      <c r="C29" s="297"/>
      <c r="D29" s="297"/>
      <c r="E29" s="297"/>
      <c r="F29" s="297"/>
      <c r="G29" s="297"/>
      <c r="H29" s="297"/>
      <c r="I29" s="297"/>
      <c r="J29" s="297"/>
    </row>
    <row r="30" spans="1:13" s="6" customFormat="1" ht="12" customHeight="1">
      <c r="A30" s="344" t="s">
        <v>35</v>
      </c>
      <c r="B30" s="319" t="s">
        <v>11</v>
      </c>
      <c r="C30" s="276" t="e">
        <f>+D30+J30</f>
        <v>#REF!</v>
      </c>
      <c r="D30" s="81" t="e">
        <f>E30+F30+G30+H30+I30</f>
        <v>#REF!</v>
      </c>
      <c r="E30" s="81" t="e">
        <f aca="true" t="shared" si="2" ref="E30:E35">ROUND(D19/C8,2)</f>
        <v>#REF!</v>
      </c>
      <c r="F30" s="81" t="e">
        <f aca="true" t="shared" si="3" ref="F30:F35">ROUND(E19/C8,2)</f>
        <v>#REF!</v>
      </c>
      <c r="G30" s="81" t="e">
        <f aca="true" t="shared" si="4" ref="G30:G35">ROUND(F19/C8,2)</f>
        <v>#REF!</v>
      </c>
      <c r="H30" s="81" t="e">
        <f>ROUND(G19/C8,2)</f>
        <v>#REF!</v>
      </c>
      <c r="I30" s="81" t="e">
        <f>ROUND(H19/C8,2)</f>
        <v>#REF!</v>
      </c>
      <c r="J30" s="81" t="e">
        <f>I19/C8</f>
        <v>#REF!</v>
      </c>
      <c r="K30" s="512"/>
      <c r="L30" s="461"/>
      <c r="M30" s="462"/>
    </row>
    <row r="31" spans="1:13" s="6" customFormat="1" ht="12" customHeight="1">
      <c r="A31" s="344" t="s">
        <v>146</v>
      </c>
      <c r="B31" s="319" t="s">
        <v>11</v>
      </c>
      <c r="C31" s="276" t="e">
        <f>+D31+J31</f>
        <v>#REF!</v>
      </c>
      <c r="D31" s="81" t="e">
        <f>E31+F31+G31+H31+I31</f>
        <v>#REF!</v>
      </c>
      <c r="E31" s="81" t="e">
        <f t="shared" si="2"/>
        <v>#REF!</v>
      </c>
      <c r="F31" s="81" t="e">
        <f t="shared" si="3"/>
        <v>#REF!</v>
      </c>
      <c r="G31" s="81" t="e">
        <f t="shared" si="4"/>
        <v>#REF!</v>
      </c>
      <c r="H31" s="81" t="e">
        <f>ROUND(G20/C9,2)</f>
        <v>#REF!</v>
      </c>
      <c r="I31" s="81" t="e">
        <f>ROUND(H20/C9,2)</f>
        <v>#REF!</v>
      </c>
      <c r="J31" s="81" t="e">
        <f>I20/C9</f>
        <v>#REF!</v>
      </c>
      <c r="K31" s="512"/>
      <c r="L31" s="461"/>
      <c r="M31" s="462"/>
    </row>
    <row r="32" spans="1:13" s="6" customFormat="1" ht="12" customHeight="1">
      <c r="A32" s="347" t="s">
        <v>36</v>
      </c>
      <c r="B32" s="319" t="s">
        <v>11</v>
      </c>
      <c r="C32" s="253" t="e">
        <f>D32+J32</f>
        <v>#REF!</v>
      </c>
      <c r="D32" s="81" t="e">
        <f>E32+F32+G32+H32+I32</f>
        <v>#REF!</v>
      </c>
      <c r="E32" s="81" t="e">
        <f t="shared" si="2"/>
        <v>#REF!</v>
      </c>
      <c r="F32" s="81" t="e">
        <f t="shared" si="3"/>
        <v>#REF!</v>
      </c>
      <c r="G32" s="81" t="e">
        <f t="shared" si="4"/>
        <v>#REF!</v>
      </c>
      <c r="H32" s="81" t="e">
        <f>ROUND(G21/C10,2)</f>
        <v>#REF!</v>
      </c>
      <c r="I32" s="81" t="e">
        <f>ROUND(H21/C10,2)</f>
        <v>#REF!</v>
      </c>
      <c r="J32" s="81" t="e">
        <f>I21/C10</f>
        <v>#REF!</v>
      </c>
      <c r="K32" s="512"/>
      <c r="L32" s="461"/>
      <c r="M32" s="462"/>
    </row>
    <row r="33" spans="1:13" s="6" customFormat="1" ht="12" customHeight="1">
      <c r="A33" s="347" t="str">
        <f>A22</f>
        <v>"Столичен автотранспорт" ЕАД</v>
      </c>
      <c r="B33" s="319" t="s">
        <v>11</v>
      </c>
      <c r="C33" s="253" t="e">
        <f>D33+J33</f>
        <v>#REF!</v>
      </c>
      <c r="D33" s="81" t="e">
        <f>E33+F33+G33+H33+I33</f>
        <v>#REF!</v>
      </c>
      <c r="E33" s="81" t="e">
        <f t="shared" si="2"/>
        <v>#REF!</v>
      </c>
      <c r="F33" s="81" t="e">
        <f t="shared" si="3"/>
        <v>#REF!</v>
      </c>
      <c r="G33" s="81" t="e">
        <f t="shared" si="4"/>
        <v>#REF!</v>
      </c>
      <c r="H33" s="81" t="e">
        <f>ROUND(G22/C11,2)</f>
        <v>#REF!</v>
      </c>
      <c r="I33" s="81" t="e">
        <f>ROUND(H22/C11,2)</f>
        <v>#REF!</v>
      </c>
      <c r="J33" s="81" t="e">
        <f>I22/C11</f>
        <v>#REF!</v>
      </c>
      <c r="K33" s="512"/>
      <c r="L33" s="461"/>
      <c r="M33" s="462"/>
    </row>
    <row r="34" spans="1:10" s="6" customFormat="1" ht="12" customHeight="1">
      <c r="A34" s="347" t="str">
        <f>A23</f>
        <v>"MTK Гроуп" ООД</v>
      </c>
      <c r="B34" s="319" t="s">
        <v>11</v>
      </c>
      <c r="C34" s="33">
        <v>3</v>
      </c>
      <c r="D34" s="81">
        <v>3</v>
      </c>
      <c r="E34" s="81" t="e">
        <f t="shared" si="2"/>
        <v>#REF!</v>
      </c>
      <c r="F34" s="81" t="e">
        <f t="shared" si="3"/>
        <v>#REF!</v>
      </c>
      <c r="G34" s="81" t="e">
        <f t="shared" si="4"/>
        <v>#REF!</v>
      </c>
      <c r="H34" s="265"/>
      <c r="I34" s="33"/>
      <c r="J34" s="33"/>
    </row>
    <row r="35" spans="1:10" ht="12" customHeight="1" thickBot="1">
      <c r="A35" s="414" t="str">
        <f>+A24</f>
        <v>"Еридатранс" ООД</v>
      </c>
      <c r="B35" s="415" t="s">
        <v>11</v>
      </c>
      <c r="C35" s="416">
        <v>2.57</v>
      </c>
      <c r="D35" s="416">
        <v>2.57</v>
      </c>
      <c r="E35" s="82" t="e">
        <f t="shared" si="2"/>
        <v>#REF!</v>
      </c>
      <c r="F35" s="82" t="e">
        <f t="shared" si="3"/>
        <v>#REF!</v>
      </c>
      <c r="G35" s="82" t="e">
        <f t="shared" si="4"/>
        <v>#REF!</v>
      </c>
      <c r="H35" s="417"/>
      <c r="I35" s="418"/>
      <c r="J35" s="418"/>
    </row>
    <row r="36" spans="1:10" ht="14.25" customHeight="1" thickBot="1">
      <c r="A36" s="350"/>
      <c r="B36" s="351"/>
      <c r="C36" s="270"/>
      <c r="D36" s="439"/>
      <c r="E36" s="389"/>
      <c r="F36" s="389"/>
      <c r="G36" s="389"/>
      <c r="H36" s="389"/>
      <c r="I36" s="389"/>
      <c r="J36" s="389"/>
    </row>
    <row r="37" spans="1:10" ht="19.5" customHeight="1">
      <c r="A37" s="352" t="s">
        <v>12</v>
      </c>
      <c r="B37" s="353" t="s">
        <v>9</v>
      </c>
      <c r="C37" s="271" t="e">
        <f>C38+C40+C43+C45</f>
        <v>#REF!</v>
      </c>
      <c r="D37" s="448"/>
      <c r="E37" s="449"/>
      <c r="F37" s="449"/>
      <c r="G37" s="449"/>
      <c r="H37" s="449"/>
      <c r="I37" s="449"/>
      <c r="J37" s="449"/>
    </row>
    <row r="38" spans="1:11" ht="16.5" customHeight="1">
      <c r="A38" s="307" t="s">
        <v>18</v>
      </c>
      <c r="B38" s="148" t="s">
        <v>9</v>
      </c>
      <c r="C38" s="120" t="e">
        <f>C39</f>
        <v>#REF!</v>
      </c>
      <c r="D38" s="380"/>
      <c r="E38" s="449"/>
      <c r="F38" s="450"/>
      <c r="G38" s="449"/>
      <c r="H38" s="449"/>
      <c r="I38" s="449"/>
      <c r="J38" s="449"/>
      <c r="K38" s="440"/>
    </row>
    <row r="39" spans="1:11" ht="12.75" customHeight="1">
      <c r="A39" s="318" t="s">
        <v>136</v>
      </c>
      <c r="B39" s="319" t="s">
        <v>9</v>
      </c>
      <c r="C39" s="275" t="e">
        <f>+D18</f>
        <v>#REF!</v>
      </c>
      <c r="D39" s="466" t="s">
        <v>167</v>
      </c>
      <c r="E39" s="220"/>
      <c r="F39" s="220"/>
      <c r="G39" s="449"/>
      <c r="H39" s="492" t="s">
        <v>163</v>
      </c>
      <c r="I39" s="451"/>
      <c r="J39" s="395"/>
      <c r="K39" s="440" t="e">
        <f>+C39/C37</f>
        <v>#REF!</v>
      </c>
    </row>
    <row r="40" spans="1:11" ht="12.75" customHeight="1">
      <c r="A40" s="355" t="s">
        <v>13</v>
      </c>
      <c r="B40" s="319" t="s">
        <v>9</v>
      </c>
      <c r="C40" s="356" t="e">
        <f>C41</f>
        <v>#REF!</v>
      </c>
      <c r="D40" s="382"/>
      <c r="E40" s="452"/>
      <c r="F40" s="452"/>
      <c r="G40" s="453"/>
      <c r="H40" s="453"/>
      <c r="I40" s="454"/>
      <c r="J40" s="452"/>
      <c r="K40" s="440"/>
    </row>
    <row r="41" spans="1:11" ht="15" customHeight="1">
      <c r="A41" s="357" t="s">
        <v>31</v>
      </c>
      <c r="B41" s="319" t="s">
        <v>9</v>
      </c>
      <c r="C41" s="358" t="e">
        <f>+F18</f>
        <v>#REF!</v>
      </c>
      <c r="D41" s="466" t="s">
        <v>168</v>
      </c>
      <c r="E41" s="455"/>
      <c r="F41" s="452"/>
      <c r="G41" s="453"/>
      <c r="H41" s="492" t="s">
        <v>164</v>
      </c>
      <c r="I41" s="454"/>
      <c r="J41" s="452"/>
      <c r="K41" s="440" t="e">
        <f>+C41/C37</f>
        <v>#REF!</v>
      </c>
    </row>
    <row r="42" spans="1:12" ht="12" customHeight="1" hidden="1">
      <c r="A42" s="357" t="s">
        <v>14</v>
      </c>
      <c r="B42" s="319" t="s">
        <v>9</v>
      </c>
      <c r="C42" s="358"/>
      <c r="D42" s="383"/>
      <c r="E42" s="469"/>
      <c r="F42" s="470"/>
      <c r="G42" s="469"/>
      <c r="H42" s="493" t="s">
        <v>164</v>
      </c>
      <c r="I42" s="469"/>
      <c r="J42" s="469"/>
      <c r="K42" s="506"/>
      <c r="L42" s="471"/>
    </row>
    <row r="43" spans="1:12" ht="13.5" customHeight="1">
      <c r="A43" s="355" t="s">
        <v>15</v>
      </c>
      <c r="B43" s="319" t="s">
        <v>9</v>
      </c>
      <c r="C43" s="356" t="e">
        <f>C44</f>
        <v>#REF!</v>
      </c>
      <c r="D43" s="382"/>
      <c r="E43" s="491"/>
      <c r="F43" s="472"/>
      <c r="G43" s="473"/>
      <c r="H43" s="493"/>
      <c r="I43" s="474"/>
      <c r="J43" s="469"/>
      <c r="K43" s="506"/>
      <c r="L43" s="471"/>
    </row>
    <row r="44" spans="1:12" ht="12" customHeight="1">
      <c r="A44" s="318" t="s">
        <v>42</v>
      </c>
      <c r="B44" s="319" t="s">
        <v>9</v>
      </c>
      <c r="C44" s="275" t="e">
        <f>+E18</f>
        <v>#REF!</v>
      </c>
      <c r="D44" s="466" t="s">
        <v>169</v>
      </c>
      <c r="E44" s="491"/>
      <c r="F44" s="472"/>
      <c r="G44" s="475"/>
      <c r="H44" s="492" t="s">
        <v>165</v>
      </c>
      <c r="I44" s="476"/>
      <c r="J44" s="469"/>
      <c r="K44" s="458" t="e">
        <f>+C44/C37</f>
        <v>#REF!</v>
      </c>
      <c r="L44" s="471"/>
    </row>
    <row r="45" spans="1:12" ht="15" customHeight="1">
      <c r="A45" s="355" t="s">
        <v>16</v>
      </c>
      <c r="B45" s="319" t="s">
        <v>9</v>
      </c>
      <c r="C45" s="356" t="e">
        <f>C46+C47+C48</f>
        <v>#REF!</v>
      </c>
      <c r="D45" s="382"/>
      <c r="E45" s="475"/>
      <c r="F45" s="477"/>
      <c r="G45" s="478"/>
      <c r="H45" s="475"/>
      <c r="I45" s="479"/>
      <c r="J45" s="480"/>
      <c r="K45" s="458" t="e">
        <f>+C45/C37</f>
        <v>#REF!</v>
      </c>
      <c r="L45" s="471"/>
    </row>
    <row r="46" spans="1:12" s="6" customFormat="1" ht="12" customHeight="1">
      <c r="A46" s="361" t="s">
        <v>4</v>
      </c>
      <c r="B46" s="319" t="s">
        <v>9</v>
      </c>
      <c r="C46" s="275" t="e">
        <f>+G19+G20+H19+H20</f>
        <v>#REF!</v>
      </c>
      <c r="D46" s="381"/>
      <c r="E46" s="475"/>
      <c r="F46" s="477"/>
      <c r="G46" s="478"/>
      <c r="H46" s="475"/>
      <c r="I46" s="479"/>
      <c r="J46" s="480"/>
      <c r="K46" s="507"/>
      <c r="L46" s="481"/>
    </row>
    <row r="47" spans="1:12" s="6" customFormat="1" ht="12" customHeight="1">
      <c r="A47" s="361" t="s">
        <v>5</v>
      </c>
      <c r="B47" s="319" t="s">
        <v>9</v>
      </c>
      <c r="C47" s="275" t="e">
        <f>+G22+H22</f>
        <v>#REF!</v>
      </c>
      <c r="D47" s="183"/>
      <c r="E47" s="475"/>
      <c r="F47" s="477"/>
      <c r="G47" s="478"/>
      <c r="H47" s="475"/>
      <c r="I47" s="479"/>
      <c r="J47" s="480"/>
      <c r="K47" s="507"/>
      <c r="L47" s="481"/>
    </row>
    <row r="48" spans="1:12" s="6" customFormat="1" ht="12" customHeight="1" thickBot="1">
      <c r="A48" s="363" t="s">
        <v>10</v>
      </c>
      <c r="B48" s="193" t="s">
        <v>9</v>
      </c>
      <c r="C48" s="364" t="e">
        <f>+G21+H21</f>
        <v>#REF!</v>
      </c>
      <c r="D48" s="183"/>
      <c r="E48" s="475"/>
      <c r="F48" s="477"/>
      <c r="G48" s="494"/>
      <c r="H48" s="475"/>
      <c r="I48" s="479"/>
      <c r="J48" s="480"/>
      <c r="K48" s="481"/>
      <c r="L48" s="481"/>
    </row>
    <row r="49" spans="1:12" s="6" customFormat="1" ht="12" customHeight="1" thickBot="1">
      <c r="A49" s="351"/>
      <c r="B49" s="182"/>
      <c r="C49" s="183"/>
      <c r="D49" s="183"/>
      <c r="E49" s="475"/>
      <c r="F49" s="477"/>
      <c r="G49" s="494"/>
      <c r="H49" s="475"/>
      <c r="I49" s="477"/>
      <c r="J49" s="482"/>
      <c r="K49" s="481"/>
      <c r="L49" s="481"/>
    </row>
    <row r="50" spans="1:12" s="6" customFormat="1" ht="27.75" customHeight="1">
      <c r="A50" s="165" t="s">
        <v>124</v>
      </c>
      <c r="B50" s="166"/>
      <c r="C50" s="167"/>
      <c r="D50" s="183"/>
      <c r="E50" s="483"/>
      <c r="F50" s="483"/>
      <c r="G50" s="495"/>
      <c r="H50" s="485"/>
      <c r="I50" s="484"/>
      <c r="J50" s="482"/>
      <c r="K50" s="481"/>
      <c r="L50" s="481"/>
    </row>
    <row r="51" spans="1:12" s="6" customFormat="1" ht="28.5" customHeight="1">
      <c r="A51" s="147" t="s">
        <v>55</v>
      </c>
      <c r="B51" s="171" t="s">
        <v>9</v>
      </c>
      <c r="C51" s="172">
        <v>31240</v>
      </c>
      <c r="D51" s="183"/>
      <c r="E51" s="486"/>
      <c r="F51" s="487"/>
      <c r="G51" s="488"/>
      <c r="H51" s="489"/>
      <c r="I51" s="490"/>
      <c r="J51" s="482"/>
      <c r="K51" s="481"/>
      <c r="L51" s="481"/>
    </row>
    <row r="52" spans="1:10" s="6" customFormat="1" ht="28.5" customHeight="1">
      <c r="A52" s="147" t="s">
        <v>56</v>
      </c>
      <c r="B52" s="148" t="s">
        <v>9</v>
      </c>
      <c r="C52" s="116">
        <v>16017</v>
      </c>
      <c r="D52" s="384"/>
      <c r="E52" s="446"/>
      <c r="F52" s="444"/>
      <c r="G52" s="445"/>
      <c r="H52" s="447"/>
      <c r="I52" s="443"/>
      <c r="J52" s="443"/>
    </row>
    <row r="53" spans="1:10" s="6" customFormat="1" ht="15">
      <c r="A53" s="147" t="s">
        <v>126</v>
      </c>
      <c r="B53" s="148" t="s">
        <v>9</v>
      </c>
      <c r="C53" s="116">
        <f>12*756</f>
        <v>9072</v>
      </c>
      <c r="D53" s="183"/>
      <c r="E53" s="443"/>
      <c r="F53" s="444"/>
      <c r="G53" s="445"/>
      <c r="H53" s="447"/>
      <c r="I53" s="443"/>
      <c r="J53" s="443"/>
    </row>
    <row r="54" spans="1:10" s="6" customFormat="1" ht="28.5" customHeight="1">
      <c r="A54" s="175" t="s">
        <v>162</v>
      </c>
      <c r="B54" s="148" t="s">
        <v>9</v>
      </c>
      <c r="C54" s="176">
        <f>10905+7561</f>
        <v>18466</v>
      </c>
      <c r="D54" s="384"/>
      <c r="E54" s="429"/>
      <c r="F54" s="309"/>
      <c r="G54" s="433"/>
      <c r="H54" s="365"/>
      <c r="I54" s="309"/>
      <c r="J54" s="309"/>
    </row>
    <row r="55" spans="1:10" s="6" customFormat="1" ht="28.5" customHeight="1">
      <c r="A55" s="175" t="s">
        <v>44</v>
      </c>
      <c r="B55" s="148" t="s">
        <v>9</v>
      </c>
      <c r="C55" s="176">
        <v>1067</v>
      </c>
      <c r="D55" s="366"/>
      <c r="E55" s="188"/>
      <c r="F55" s="309"/>
      <c r="G55" s="433"/>
      <c r="H55" s="365"/>
      <c r="I55" s="309"/>
      <c r="J55" s="309"/>
    </row>
    <row r="56" spans="1:10" s="6" customFormat="1" ht="28.5" customHeight="1" thickBot="1">
      <c r="A56" s="178" t="s">
        <v>53</v>
      </c>
      <c r="B56" s="179"/>
      <c r="C56" s="180">
        <v>36560</v>
      </c>
      <c r="D56" s="384"/>
      <c r="E56" s="429"/>
      <c r="F56" s="309"/>
      <c r="G56" s="433"/>
      <c r="H56" s="365"/>
      <c r="I56" s="309"/>
      <c r="J56" s="309"/>
    </row>
    <row r="57" spans="1:10" s="6" customFormat="1" ht="12" customHeight="1" thickBot="1">
      <c r="A57" s="351"/>
      <c r="B57" s="182"/>
      <c r="C57" s="183"/>
      <c r="D57" s="366"/>
      <c r="E57" s="188"/>
      <c r="F57" s="309"/>
      <c r="G57" s="433"/>
      <c r="H57" s="365"/>
      <c r="I57" s="309"/>
      <c r="J57" s="309"/>
    </row>
    <row r="58" spans="1:10" s="168" customFormat="1" ht="21.75" customHeight="1" thickBot="1">
      <c r="A58" s="196" t="s">
        <v>151</v>
      </c>
      <c r="B58" s="369" t="s">
        <v>9</v>
      </c>
      <c r="C58" s="197" t="e">
        <f>C18+I18-C37-C62</f>
        <v>#REF!</v>
      </c>
      <c r="D58" s="511"/>
      <c r="E58" s="395"/>
      <c r="F58" s="395"/>
      <c r="G58" s="434"/>
      <c r="H58" s="395"/>
      <c r="I58" s="395"/>
      <c r="J58" s="395"/>
    </row>
    <row r="59" spans="1:10" s="170" customFormat="1" ht="11.25" customHeight="1">
      <c r="A59" s="181"/>
      <c r="B59" s="182"/>
      <c r="C59" s="183"/>
      <c r="D59" s="183"/>
      <c r="E59" s="435"/>
      <c r="F59" s="435"/>
      <c r="G59" s="436"/>
      <c r="H59" s="435"/>
      <c r="I59" s="435"/>
      <c r="J59" s="435"/>
    </row>
    <row r="60" spans="1:10" s="170" customFormat="1" ht="11.25" customHeight="1">
      <c r="A60" s="181"/>
      <c r="B60" s="182"/>
      <c r="C60" s="183"/>
      <c r="D60" s="366"/>
      <c r="E60" s="435"/>
      <c r="F60" s="435"/>
      <c r="G60" s="436"/>
      <c r="H60" s="435"/>
      <c r="I60" s="435"/>
      <c r="J60" s="435"/>
    </row>
    <row r="61" spans="1:196" s="170" customFormat="1" ht="15" customHeight="1" thickBot="1">
      <c r="A61" s="43"/>
      <c r="B61" s="43"/>
      <c r="C61" s="43"/>
      <c r="D61" s="427"/>
      <c r="E61" s="427"/>
      <c r="F61" s="427"/>
      <c r="G61" s="427"/>
      <c r="H61" s="467"/>
      <c r="I61" s="427"/>
      <c r="J61" s="427"/>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0" s="168" customFormat="1" ht="38.25" customHeight="1" thickBot="1">
      <c r="A62" s="184" t="s">
        <v>128</v>
      </c>
      <c r="B62" s="185" t="s">
        <v>9</v>
      </c>
      <c r="C62" s="186" t="e">
        <f>C63+C64</f>
        <v>#REF!</v>
      </c>
      <c r="D62" s="460"/>
      <c r="E62" s="426"/>
      <c r="F62" s="425"/>
      <c r="G62" s="424"/>
      <c r="H62" s="468"/>
      <c r="I62" s="425"/>
      <c r="J62" s="425"/>
    </row>
    <row r="63" spans="1:196" s="170" customFormat="1" ht="14.25" customHeight="1">
      <c r="A63" s="189" t="s">
        <v>68</v>
      </c>
      <c r="B63" s="190" t="s">
        <v>9</v>
      </c>
      <c r="C63" s="191">
        <v>15000</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row>
    <row r="64" spans="1:196" s="170" customFormat="1" ht="14.25" customHeight="1" thickBot="1">
      <c r="A64" s="192" t="s">
        <v>30</v>
      </c>
      <c r="B64" s="193" t="s">
        <v>9</v>
      </c>
      <c r="C64" s="194" t="e">
        <f>+#REF!</f>
        <v>#REF!</v>
      </c>
      <c r="D64" s="431"/>
      <c r="E64" s="431"/>
      <c r="F64" s="44"/>
      <c r="G64" s="431"/>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row>
    <row r="65" spans="1:196"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row>
    <row r="66" spans="1:196" s="170" customFormat="1" ht="14.25">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row>
    <row r="67" spans="1:196" s="170" customFormat="1" ht="27" customHeight="1">
      <c r="A67" s="605" t="s">
        <v>175</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row>
    <row r="68" spans="1:196" s="170" customFormat="1" ht="14.25">
      <c r="A68" s="605" t="s">
        <v>173</v>
      </c>
      <c r="B68" s="605"/>
      <c r="C68" s="605"/>
      <c r="D68" s="605"/>
      <c r="E68" s="605"/>
      <c r="F68" s="605"/>
      <c r="G68" s="605"/>
      <c r="H68" s="605"/>
      <c r="I68" s="605"/>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row>
    <row r="69" spans="1:196" s="457" customFormat="1" ht="33" customHeight="1">
      <c r="A69" s="626" t="s">
        <v>174</v>
      </c>
      <c r="B69" s="626"/>
      <c r="C69" s="626"/>
      <c r="D69" s="626"/>
      <c r="E69" s="626"/>
      <c r="F69" s="626"/>
      <c r="G69" s="626"/>
      <c r="H69" s="626"/>
      <c r="I69" s="626"/>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row>
    <row r="70" spans="1:9" s="170" customFormat="1" ht="44.25" customHeight="1">
      <c r="A70" s="626" t="s">
        <v>147</v>
      </c>
      <c r="B70" s="626"/>
      <c r="C70" s="626"/>
      <c r="D70" s="626"/>
      <c r="E70" s="626"/>
      <c r="F70" s="626"/>
      <c r="G70" s="626"/>
      <c r="H70" s="626"/>
      <c r="I70" s="626"/>
    </row>
    <row r="71" spans="1:3" s="26" customFormat="1" ht="65.25" customHeight="1">
      <c r="A71" s="43"/>
      <c r="B71" s="43"/>
      <c r="C71" s="50"/>
    </row>
    <row r="72" spans="1:6" s="26" customFormat="1" ht="15">
      <c r="A72" s="43"/>
      <c r="B72" s="44"/>
      <c r="C72" s="87"/>
      <c r="E72" s="187" t="s">
        <v>50</v>
      </c>
      <c r="F72" s="168"/>
    </row>
    <row r="73" spans="1:6" s="26" customFormat="1" ht="15">
      <c r="A73" s="48"/>
      <c r="B73" s="49"/>
      <c r="C73" s="149"/>
      <c r="E73" s="44"/>
      <c r="F73" s="44" t="s">
        <v>172</v>
      </c>
    </row>
    <row r="74" spans="1:3" s="26" customFormat="1" ht="15">
      <c r="A74" s="48"/>
      <c r="B74" s="49"/>
      <c r="C74" s="150"/>
    </row>
    <row r="75" spans="1:2" s="26" customFormat="1" ht="15">
      <c r="A75" s="43"/>
      <c r="B75" s="43"/>
    </row>
    <row r="76" spans="1:3" s="26" customFormat="1" ht="14.25">
      <c r="A76" s="573"/>
      <c r="B76" s="573"/>
      <c r="C76" s="87"/>
    </row>
    <row r="77" spans="1:3" s="26" customFormat="1" ht="12.75">
      <c r="A77" s="217"/>
      <c r="C77" s="152"/>
    </row>
    <row r="78" s="26" customFormat="1" ht="12.75"/>
    <row r="79" s="26" customFormat="1" ht="12.75"/>
  </sheetData>
  <sheetProtection/>
  <mergeCells count="24">
    <mergeCell ref="A70:I70"/>
    <mergeCell ref="A76:B76"/>
    <mergeCell ref="I26:I27"/>
    <mergeCell ref="J26:J27"/>
    <mergeCell ref="A66:I66"/>
    <mergeCell ref="A67:I67"/>
    <mergeCell ref="A68:I68"/>
    <mergeCell ref="A69:I69"/>
    <mergeCell ref="J17:J18"/>
    <mergeCell ref="K17:K18"/>
    <mergeCell ref="A26:A27"/>
    <mergeCell ref="B26:B27"/>
    <mergeCell ref="C26:C27"/>
    <mergeCell ref="D26:D27"/>
    <mergeCell ref="E26:E27"/>
    <mergeCell ref="F26:F27"/>
    <mergeCell ref="G26:G27"/>
    <mergeCell ref="H26:H27"/>
    <mergeCell ref="A1:D1"/>
    <mergeCell ref="F1:H1"/>
    <mergeCell ref="A2:D2"/>
    <mergeCell ref="A4:D4"/>
    <mergeCell ref="C5:D5"/>
    <mergeCell ref="C6:D6"/>
  </mergeCells>
  <printOptions/>
  <pageMargins left="0.4330708661417323" right="0.2362204724409449" top="0.35433070866141736" bottom="0.35433070866141736" header="0.31496062992125984" footer="0.31496062992125984"/>
  <pageSetup fitToHeight="1" fitToWidth="1" horizontalDpi="600" verticalDpi="600" orientation="portrait" paperSize="9" scale="51" r:id="rId1"/>
</worksheet>
</file>

<file path=xl/worksheets/sheet16.xml><?xml version="1.0" encoding="utf-8"?>
<worksheet xmlns="http://schemas.openxmlformats.org/spreadsheetml/2006/main" xmlns:r="http://schemas.openxmlformats.org/officeDocument/2006/relationships">
  <dimension ref="A1:GN77"/>
  <sheetViews>
    <sheetView zoomScalePageLayoutView="0" workbookViewId="0" topLeftCell="A1">
      <selection activeCell="L21" sqref="L21"/>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14.421875" style="0" customWidth="1"/>
    <col min="13" max="13" width="14.421875" style="0" bestFit="1" customWidth="1"/>
    <col min="14" max="14" width="11.421875" style="0" bestFit="1" customWidth="1"/>
    <col min="18" max="18" width="9.57421875" style="0" bestFit="1" customWidth="1"/>
  </cols>
  <sheetData>
    <row r="1" spans="1:10" ht="23.25" customHeight="1">
      <c r="A1" s="606" t="s">
        <v>20</v>
      </c>
      <c r="B1" s="606"/>
      <c r="C1" s="606"/>
      <c r="D1" s="606"/>
      <c r="E1" s="168"/>
      <c r="F1" s="613" t="s">
        <v>144</v>
      </c>
      <c r="G1" s="613"/>
      <c r="H1" s="613"/>
      <c r="I1" s="428"/>
      <c r="J1" s="428"/>
    </row>
    <row r="2" spans="1:10" ht="12.75" customHeight="1">
      <c r="A2" s="608" t="s">
        <v>160</v>
      </c>
      <c r="B2" s="608"/>
      <c r="C2" s="608"/>
      <c r="D2" s="608"/>
      <c r="E2" s="168"/>
      <c r="F2" s="168"/>
      <c r="G2" s="428"/>
      <c r="H2" s="430"/>
      <c r="I2" s="430"/>
      <c r="J2" s="430"/>
    </row>
    <row r="3" spans="1:10" ht="12.75" customHeight="1">
      <c r="A3" s="298"/>
      <c r="B3" s="298"/>
      <c r="C3" s="298"/>
      <c r="D3" s="298"/>
      <c r="E3" s="168"/>
      <c r="F3" s="168"/>
      <c r="G3" s="428"/>
      <c r="H3" s="430"/>
      <c r="I3" s="430"/>
      <c r="J3" s="430"/>
    </row>
    <row r="4" spans="1:10" ht="12.75" customHeight="1">
      <c r="A4" s="609"/>
      <c r="B4" s="609"/>
      <c r="C4" s="609"/>
      <c r="D4" s="609"/>
      <c r="E4" s="168"/>
      <c r="F4" s="168"/>
      <c r="G4" s="428"/>
      <c r="H4" s="428"/>
      <c r="I4" s="428"/>
      <c r="J4" s="428"/>
    </row>
    <row r="5" spans="1:10" ht="22.5" customHeight="1" thickBot="1">
      <c r="A5" s="299"/>
      <c r="B5" s="299"/>
      <c r="C5" s="616"/>
      <c r="D5" s="616"/>
      <c r="E5" s="168"/>
      <c r="F5" s="168"/>
      <c r="G5" s="428"/>
      <c r="H5" s="428"/>
      <c r="I5" s="428"/>
      <c r="J5" s="428"/>
    </row>
    <row r="6" spans="1:10" ht="37.5" customHeight="1" thickBot="1">
      <c r="A6" s="300" t="s">
        <v>0</v>
      </c>
      <c r="B6" s="301" t="s">
        <v>1</v>
      </c>
      <c r="C6" s="610" t="s">
        <v>161</v>
      </c>
      <c r="D6" s="611"/>
      <c r="E6" s="168"/>
      <c r="F6" s="302"/>
      <c r="G6" s="168"/>
      <c r="H6" s="168"/>
      <c r="I6" s="168"/>
      <c r="J6" s="302"/>
    </row>
    <row r="7" spans="1:10" ht="19.5" customHeight="1">
      <c r="A7" s="303" t="s">
        <v>2</v>
      </c>
      <c r="B7" s="304" t="s">
        <v>3</v>
      </c>
      <c r="C7" s="167" t="e">
        <f>SUM(C8:C13)</f>
        <v>#REF!</v>
      </c>
      <c r="D7" s="306" t="e">
        <f>SUM(D8:D13)</f>
        <v>#REF!</v>
      </c>
      <c r="E7" s="169"/>
      <c r="F7" s="168"/>
      <c r="G7" s="168"/>
      <c r="H7" s="168"/>
      <c r="I7" s="168"/>
      <c r="J7" s="168"/>
    </row>
    <row r="8" spans="1:10" s="6" customFormat="1" ht="21" customHeight="1">
      <c r="A8" s="307" t="s">
        <v>4</v>
      </c>
      <c r="B8" s="148" t="s">
        <v>3</v>
      </c>
      <c r="C8" s="120" t="e">
        <f>#REF!</f>
        <v>#REF!</v>
      </c>
      <c r="D8" s="308" t="e">
        <f aca="true" t="shared" si="0" ref="D8:D13">C8/$C$7</f>
        <v>#REF!</v>
      </c>
      <c r="E8" s="339"/>
      <c r="F8" s="437"/>
      <c r="G8" s="438"/>
      <c r="H8" s="412"/>
      <c r="I8" s="309"/>
      <c r="J8" s="310"/>
    </row>
    <row r="9" spans="1:10" s="6" customFormat="1" ht="21" customHeight="1">
      <c r="A9" s="307" t="s">
        <v>145</v>
      </c>
      <c r="B9" s="148" t="s">
        <v>3</v>
      </c>
      <c r="C9" s="120" t="e">
        <f>#REF!</f>
        <v>#REF!</v>
      </c>
      <c r="D9" s="308" t="e">
        <f t="shared" si="0"/>
        <v>#REF!</v>
      </c>
      <c r="E9" s="339"/>
      <c r="F9" s="437"/>
      <c r="G9" s="339"/>
      <c r="H9" s="412"/>
      <c r="I9" s="309"/>
      <c r="J9" s="310"/>
    </row>
    <row r="10" spans="1:10" s="6" customFormat="1" ht="21" customHeight="1">
      <c r="A10" s="307" t="s">
        <v>10</v>
      </c>
      <c r="B10" s="148" t="s">
        <v>3</v>
      </c>
      <c r="C10" s="120" t="e">
        <f>#REF!</f>
        <v>#REF!</v>
      </c>
      <c r="D10" s="308" t="e">
        <f t="shared" si="0"/>
        <v>#REF!</v>
      </c>
      <c r="E10" s="311"/>
      <c r="F10" s="437"/>
      <c r="G10" s="309"/>
      <c r="H10" s="309"/>
      <c r="I10" s="309"/>
      <c r="J10" s="309"/>
    </row>
    <row r="11" spans="1:10" s="6" customFormat="1" ht="21" customHeight="1">
      <c r="A11" s="307" t="s">
        <v>5</v>
      </c>
      <c r="B11" s="148" t="s">
        <v>3</v>
      </c>
      <c r="C11" s="120" t="e">
        <f>#REF!</f>
        <v>#REF!</v>
      </c>
      <c r="D11" s="308" t="e">
        <f t="shared" si="0"/>
        <v>#REF!</v>
      </c>
      <c r="E11" s="339"/>
      <c r="F11" s="437"/>
      <c r="G11" s="339"/>
      <c r="H11" s="309"/>
      <c r="I11" s="309"/>
      <c r="J11" s="309"/>
    </row>
    <row r="12" spans="1:10" s="6" customFormat="1" ht="21" customHeight="1">
      <c r="A12" s="312" t="s">
        <v>120</v>
      </c>
      <c r="B12" s="148" t="s">
        <v>3</v>
      </c>
      <c r="C12" s="120" t="e">
        <f>#REF!</f>
        <v>#REF!</v>
      </c>
      <c r="D12" s="308" t="e">
        <f t="shared" si="0"/>
        <v>#REF!</v>
      </c>
      <c r="E12" s="309"/>
      <c r="F12" s="437"/>
      <c r="G12" s="432"/>
      <c r="H12" s="309"/>
      <c r="I12" s="309"/>
      <c r="J12" s="309"/>
    </row>
    <row r="13" spans="1:10" ht="21" customHeight="1" thickBot="1">
      <c r="A13" s="419" t="s">
        <v>148</v>
      </c>
      <c r="B13" s="420" t="s">
        <v>3</v>
      </c>
      <c r="C13" s="423" t="e">
        <f>#REF!</f>
        <v>#REF!</v>
      </c>
      <c r="D13" s="317" t="e">
        <f t="shared" si="0"/>
        <v>#REF!</v>
      </c>
      <c r="E13" s="339"/>
      <c r="F13" s="168"/>
      <c r="G13" s="168"/>
      <c r="H13" s="168"/>
      <c r="I13" s="168"/>
      <c r="J13" s="395"/>
    </row>
    <row r="14" spans="1:10" ht="12" customHeight="1">
      <c r="A14" s="170"/>
      <c r="B14" s="170"/>
      <c r="C14" s="170"/>
      <c r="D14" s="168"/>
      <c r="E14" s="168"/>
      <c r="F14" s="321"/>
      <c r="G14" s="395"/>
      <c r="H14" s="395"/>
      <c r="I14" s="395"/>
      <c r="J14" s="395"/>
    </row>
    <row r="15" spans="1:10" ht="15.75" customHeight="1" thickBot="1">
      <c r="A15" s="456"/>
      <c r="B15" s="351"/>
      <c r="C15" s="457"/>
      <c r="D15" s="168"/>
      <c r="E15" s="168"/>
      <c r="F15" s="325"/>
      <c r="G15" s="325"/>
      <c r="H15" s="325"/>
      <c r="I15" s="326"/>
      <c r="J15" s="395"/>
    </row>
    <row r="16" spans="1:13" ht="100.5" customHeight="1" thickBot="1">
      <c r="A16" s="300" t="s">
        <v>0</v>
      </c>
      <c r="B16" s="301" t="s">
        <v>1</v>
      </c>
      <c r="C16" s="263" t="s">
        <v>24</v>
      </c>
      <c r="D16" s="263" t="s">
        <v>25</v>
      </c>
      <c r="E16" s="327" t="s">
        <v>41</v>
      </c>
      <c r="F16" s="263" t="s">
        <v>22</v>
      </c>
      <c r="G16" s="297" t="s">
        <v>38</v>
      </c>
      <c r="H16" s="297" t="s">
        <v>39</v>
      </c>
      <c r="I16" s="263" t="s">
        <v>23</v>
      </c>
      <c r="J16" s="463"/>
      <c r="K16" s="405"/>
      <c r="L16" s="405"/>
      <c r="M16" s="26"/>
    </row>
    <row r="17" spans="1:11" ht="16.5" customHeight="1" thickBot="1">
      <c r="A17" s="328">
        <v>1</v>
      </c>
      <c r="B17" s="329">
        <v>2</v>
      </c>
      <c r="C17" s="297">
        <v>3</v>
      </c>
      <c r="D17" s="297">
        <v>4</v>
      </c>
      <c r="E17" s="297">
        <v>5</v>
      </c>
      <c r="F17" s="297">
        <v>6</v>
      </c>
      <c r="G17" s="297">
        <v>7</v>
      </c>
      <c r="H17" s="297">
        <v>8</v>
      </c>
      <c r="I17" s="297">
        <v>9</v>
      </c>
      <c r="J17" s="628" t="s">
        <v>170</v>
      </c>
      <c r="K17" s="618" t="s">
        <v>171</v>
      </c>
    </row>
    <row r="18" spans="1:13" s="108" customFormat="1" ht="19.5" customHeight="1">
      <c r="A18" s="330" t="s">
        <v>33</v>
      </c>
      <c r="B18" s="304" t="s">
        <v>9</v>
      </c>
      <c r="C18" s="260" t="e">
        <f aca="true" t="shared" si="1" ref="C18:I18">SUM(C19:C24)</f>
        <v>#REF!</v>
      </c>
      <c r="D18" s="260" t="e">
        <f t="shared" si="1"/>
        <v>#REF!</v>
      </c>
      <c r="E18" s="260" t="e">
        <f t="shared" si="1"/>
        <v>#REF!</v>
      </c>
      <c r="F18" s="260" t="e">
        <f t="shared" si="1"/>
        <v>#REF!</v>
      </c>
      <c r="G18" s="260" t="e">
        <f t="shared" si="1"/>
        <v>#REF!</v>
      </c>
      <c r="H18" s="260" t="e">
        <f t="shared" si="1"/>
        <v>#REF!</v>
      </c>
      <c r="I18" s="496" t="e">
        <f t="shared" si="1"/>
        <v>#REF!</v>
      </c>
      <c r="J18" s="628"/>
      <c r="K18" s="618"/>
      <c r="L18" s="503"/>
      <c r="M18" s="503"/>
    </row>
    <row r="19" spans="1:19" s="114" customFormat="1" ht="21" customHeight="1">
      <c r="A19" s="307" t="s">
        <v>4</v>
      </c>
      <c r="B19" s="148" t="s">
        <v>9</v>
      </c>
      <c r="C19" s="112" t="e">
        <f>SUM(D19:H19)</f>
        <v>#REF!</v>
      </c>
      <c r="D19" s="112" t="e">
        <f>#REF!</f>
        <v>#REF!</v>
      </c>
      <c r="E19" s="112" t="e">
        <f>#REF!</f>
        <v>#REF!</v>
      </c>
      <c r="F19" s="112" t="e">
        <f>#REF!</f>
        <v>#REF!</v>
      </c>
      <c r="G19" s="112" t="e">
        <f>#REF!</f>
        <v>#REF!</v>
      </c>
      <c r="H19" s="112" t="e">
        <f>#REF!</f>
        <v>#REF!</v>
      </c>
      <c r="I19" s="497" t="e">
        <f>K19+100</f>
        <v>#REF!</v>
      </c>
      <c r="J19" s="464" t="e">
        <f>+ROUND(C8*N19,0)</f>
        <v>#REF!</v>
      </c>
      <c r="K19" s="465" t="e">
        <f>+ROUND(J19-C19,0)</f>
        <v>#REF!</v>
      </c>
      <c r="L19" s="510" t="e">
        <f>+#REF!</f>
        <v>#REF!</v>
      </c>
      <c r="M19" s="502" t="e">
        <f>L19*0.1</f>
        <v>#REF!</v>
      </c>
      <c r="N19" s="499" t="e">
        <f>L19-M19</f>
        <v>#REF!</v>
      </c>
      <c r="P19" s="504"/>
      <c r="R19" s="107"/>
      <c r="S19" s="504"/>
    </row>
    <row r="20" spans="1:19" s="114" customFormat="1" ht="21" customHeight="1">
      <c r="A20" s="307" t="s">
        <v>145</v>
      </c>
      <c r="B20" s="148" t="s">
        <v>9</v>
      </c>
      <c r="C20" s="112" t="e">
        <f>SUM(D20:H20)</f>
        <v>#REF!</v>
      </c>
      <c r="D20" s="112" t="e">
        <f>#REF!</f>
        <v>#REF!</v>
      </c>
      <c r="E20" s="112" t="e">
        <f>#REF!</f>
        <v>#REF!</v>
      </c>
      <c r="F20" s="112" t="e">
        <f>#REF!</f>
        <v>#REF!</v>
      </c>
      <c r="G20" s="112" t="e">
        <f>#REF!</f>
        <v>#REF!</v>
      </c>
      <c r="H20" s="112" t="e">
        <f>#REF!</f>
        <v>#REF!</v>
      </c>
      <c r="I20" s="497" t="e">
        <f>K20+20</f>
        <v>#REF!</v>
      </c>
      <c r="J20" s="464" t="e">
        <f>+ROUND(C9*N20,0)</f>
        <v>#REF!</v>
      </c>
      <c r="K20" s="465" t="e">
        <f>+ROUND(J20-C20,0)</f>
        <v>#REF!</v>
      </c>
      <c r="L20" s="510" t="e">
        <f>+#REF!</f>
        <v>#REF!</v>
      </c>
      <c r="M20" s="502" t="e">
        <f>L20*0.1</f>
        <v>#REF!</v>
      </c>
      <c r="N20" s="499" t="e">
        <f>L20-M20</f>
        <v>#REF!</v>
      </c>
      <c r="P20" s="504"/>
      <c r="R20" s="107"/>
      <c r="S20" s="504"/>
    </row>
    <row r="21" spans="1:19" s="114" customFormat="1" ht="21" customHeight="1">
      <c r="A21" s="307" t="s">
        <v>10</v>
      </c>
      <c r="B21" s="148" t="s">
        <v>9</v>
      </c>
      <c r="C21" s="112" t="e">
        <f>SUM(D21:H21)</f>
        <v>#REF!</v>
      </c>
      <c r="D21" s="112" t="e">
        <f>#REF!</f>
        <v>#REF!</v>
      </c>
      <c r="E21" s="112" t="e">
        <f>#REF!</f>
        <v>#REF!</v>
      </c>
      <c r="F21" s="112" t="e">
        <f>#REF!</f>
        <v>#REF!</v>
      </c>
      <c r="G21" s="112" t="e">
        <f>#REF!</f>
        <v>#REF!</v>
      </c>
      <c r="H21" s="112" t="e">
        <f>#REF!</f>
        <v>#REF!</v>
      </c>
      <c r="I21" s="497" t="e">
        <f>K21+50</f>
        <v>#REF!</v>
      </c>
      <c r="J21" s="464" t="e">
        <f>+ROUND(C10*N21,0)</f>
        <v>#REF!</v>
      </c>
      <c r="K21" s="465" t="e">
        <f>+ROUND(J21-C21,0)</f>
        <v>#REF!</v>
      </c>
      <c r="L21" s="510" t="e">
        <f>+#REF!</f>
        <v>#REF!</v>
      </c>
      <c r="M21" s="502" t="e">
        <f>L21*0.1</f>
        <v>#REF!</v>
      </c>
      <c r="N21" s="499" t="e">
        <f>L21-M21</f>
        <v>#REF!</v>
      </c>
      <c r="P21" s="504"/>
      <c r="R21" s="107"/>
      <c r="S21" s="504"/>
    </row>
    <row r="22" spans="1:19" s="114" customFormat="1" ht="21" customHeight="1">
      <c r="A22" s="307" t="s">
        <v>5</v>
      </c>
      <c r="B22" s="148" t="s">
        <v>9</v>
      </c>
      <c r="C22" s="112" t="e">
        <f>SUM(D22:H22)</f>
        <v>#REF!</v>
      </c>
      <c r="D22" s="112" t="e">
        <f>#REF!</f>
        <v>#REF!</v>
      </c>
      <c r="E22" s="112" t="e">
        <f>#REF!</f>
        <v>#REF!</v>
      </c>
      <c r="F22" s="112" t="e">
        <f>#REF!</f>
        <v>#REF!</v>
      </c>
      <c r="G22" s="112" t="e">
        <f>#REF!</f>
        <v>#REF!</v>
      </c>
      <c r="H22" s="112" t="e">
        <f>#REF!</f>
        <v>#REF!</v>
      </c>
      <c r="I22" s="497" t="e">
        <f>K22+150</f>
        <v>#REF!</v>
      </c>
      <c r="J22" s="464" t="e">
        <f>+ROUND(C11*N22,0)</f>
        <v>#REF!</v>
      </c>
      <c r="K22" s="465" t="e">
        <f>+ROUND(J22-C22,0)</f>
        <v>#REF!</v>
      </c>
      <c r="L22" s="510" t="e">
        <f>+#REF!</f>
        <v>#REF!</v>
      </c>
      <c r="M22" s="502" t="e">
        <f>L22*0.1</f>
        <v>#REF!</v>
      </c>
      <c r="N22" s="499" t="e">
        <f>L22-M22</f>
        <v>#REF!</v>
      </c>
      <c r="P22" s="504"/>
      <c r="R22" s="107"/>
      <c r="S22" s="504"/>
    </row>
    <row r="23" spans="1:19" s="108" customFormat="1" ht="16.5" customHeight="1">
      <c r="A23" s="312" t="s">
        <v>120</v>
      </c>
      <c r="B23" s="148" t="s">
        <v>9</v>
      </c>
      <c r="C23" s="120" t="e">
        <f>ROUND(C12*3,0)</f>
        <v>#REF!</v>
      </c>
      <c r="D23" s="112" t="e">
        <f>#REF!</f>
        <v>#REF!</v>
      </c>
      <c r="E23" s="112" t="e">
        <f>#REF!</f>
        <v>#REF!</v>
      </c>
      <c r="F23" s="112" t="e">
        <f>#REF!</f>
        <v>#REF!</v>
      </c>
      <c r="G23" s="112"/>
      <c r="H23" s="112"/>
      <c r="I23" s="112"/>
      <c r="J23" s="442"/>
      <c r="R23" s="503"/>
      <c r="S23" s="505"/>
    </row>
    <row r="24" spans="1:18" s="108" customFormat="1" ht="21" customHeight="1" thickBot="1">
      <c r="A24" s="422" t="str">
        <f>+A13</f>
        <v>"Еридатранс" ООД</v>
      </c>
      <c r="B24" s="337" t="s">
        <v>9</v>
      </c>
      <c r="C24" s="423" t="e">
        <f>ROUND(C13*2.57,0)</f>
        <v>#REF!</v>
      </c>
      <c r="D24" s="124" t="e">
        <f>#REF!</f>
        <v>#REF!</v>
      </c>
      <c r="E24" s="124" t="e">
        <f>#REF!</f>
        <v>#REF!</v>
      </c>
      <c r="F24" s="124" t="e">
        <f>#REF!</f>
        <v>#REF!</v>
      </c>
      <c r="G24" s="423"/>
      <c r="H24" s="423"/>
      <c r="I24" s="423"/>
      <c r="J24" s="441"/>
      <c r="R24" s="503"/>
    </row>
    <row r="25" spans="1:10" ht="14.25" customHeight="1" thickBot="1">
      <c r="A25" s="338"/>
      <c r="B25" s="182"/>
      <c r="C25" s="261"/>
      <c r="D25" s="168"/>
      <c r="E25" s="168"/>
      <c r="F25" s="262"/>
      <c r="G25" s="168"/>
      <c r="H25" s="168"/>
      <c r="I25" s="170"/>
      <c r="J25" s="309"/>
    </row>
    <row r="26" spans="1:12" ht="44.25" customHeight="1">
      <c r="A26" s="600" t="s">
        <v>0</v>
      </c>
      <c r="B26" s="602" t="s">
        <v>1</v>
      </c>
      <c r="C26" s="593" t="s">
        <v>45</v>
      </c>
      <c r="D26" s="593" t="s">
        <v>67</v>
      </c>
      <c r="E26" s="593" t="s">
        <v>26</v>
      </c>
      <c r="F26" s="593" t="s">
        <v>40</v>
      </c>
      <c r="G26" s="593" t="s">
        <v>27</v>
      </c>
      <c r="H26" s="593" t="s">
        <v>28</v>
      </c>
      <c r="I26" s="593" t="s">
        <v>37</v>
      </c>
      <c r="J26" s="576" t="s">
        <v>29</v>
      </c>
      <c r="L26" s="28"/>
    </row>
    <row r="27" spans="1:10" ht="87.75" customHeight="1" thickBot="1">
      <c r="A27" s="601"/>
      <c r="B27" s="603"/>
      <c r="C27" s="594"/>
      <c r="D27" s="594"/>
      <c r="E27" s="594"/>
      <c r="F27" s="594"/>
      <c r="G27" s="594"/>
      <c r="H27" s="594"/>
      <c r="I27" s="594"/>
      <c r="J27" s="577"/>
    </row>
    <row r="28" spans="1:10" ht="16.5" customHeight="1" thickBot="1">
      <c r="A28" s="340">
        <v>1</v>
      </c>
      <c r="B28" s="301">
        <v>2</v>
      </c>
      <c r="C28" s="263">
        <v>3</v>
      </c>
      <c r="D28" s="263">
        <v>4</v>
      </c>
      <c r="E28" s="263">
        <v>5</v>
      </c>
      <c r="F28" s="263">
        <v>6</v>
      </c>
      <c r="G28" s="263">
        <v>7</v>
      </c>
      <c r="H28" s="263">
        <v>8</v>
      </c>
      <c r="I28" s="263">
        <v>9</v>
      </c>
      <c r="J28" s="263">
        <v>9</v>
      </c>
    </row>
    <row r="29" spans="1:10" ht="16.5" customHeight="1">
      <c r="A29" s="341" t="s">
        <v>34</v>
      </c>
      <c r="B29" s="329"/>
      <c r="C29" s="297"/>
      <c r="D29" s="297"/>
      <c r="E29" s="297"/>
      <c r="F29" s="297"/>
      <c r="G29" s="297"/>
      <c r="H29" s="297"/>
      <c r="I29" s="297"/>
      <c r="J29" s="297"/>
    </row>
    <row r="30" spans="1:13" s="6" customFormat="1" ht="12" customHeight="1">
      <c r="A30" s="344" t="s">
        <v>35</v>
      </c>
      <c r="B30" s="319" t="s">
        <v>11</v>
      </c>
      <c r="C30" s="276" t="e">
        <f>+D30+J30</f>
        <v>#REF!</v>
      </c>
      <c r="D30" s="81" t="e">
        <f>E30+F30+G30+H30+I30</f>
        <v>#REF!</v>
      </c>
      <c r="E30" s="81" t="e">
        <f aca="true" t="shared" si="2" ref="E30:E35">ROUND(D19/C8,2)</f>
        <v>#REF!</v>
      </c>
      <c r="F30" s="81" t="e">
        <f aca="true" t="shared" si="3" ref="F30:F35">ROUND(E19/C8,2)</f>
        <v>#REF!</v>
      </c>
      <c r="G30" s="81" t="e">
        <f aca="true" t="shared" si="4" ref="G30:G35">ROUND(F19/C8,2)</f>
        <v>#REF!</v>
      </c>
      <c r="H30" s="81" t="e">
        <f>ROUND(G19/C8,2)</f>
        <v>#REF!</v>
      </c>
      <c r="I30" s="81" t="e">
        <f>ROUND(H19/C8,2)</f>
        <v>#REF!</v>
      </c>
      <c r="J30" s="81" t="e">
        <f>I19/C8</f>
        <v>#REF!</v>
      </c>
      <c r="L30" s="461"/>
      <c r="M30" s="462"/>
    </row>
    <row r="31" spans="1:13" s="6" customFormat="1" ht="12" customHeight="1">
      <c r="A31" s="344" t="s">
        <v>146</v>
      </c>
      <c r="B31" s="319" t="s">
        <v>11</v>
      </c>
      <c r="C31" s="276" t="e">
        <f>+D31+J31</f>
        <v>#REF!</v>
      </c>
      <c r="D31" s="81" t="e">
        <f>E31+F31+G31+H31+I31</f>
        <v>#REF!</v>
      </c>
      <c r="E31" s="81" t="e">
        <f t="shared" si="2"/>
        <v>#REF!</v>
      </c>
      <c r="F31" s="81" t="e">
        <f t="shared" si="3"/>
        <v>#REF!</v>
      </c>
      <c r="G31" s="81" t="e">
        <f t="shared" si="4"/>
        <v>#REF!</v>
      </c>
      <c r="H31" s="81" t="e">
        <f>ROUND(G20/C9,2)</f>
        <v>#REF!</v>
      </c>
      <c r="I31" s="81" t="e">
        <f>ROUND(H20/C9,2)</f>
        <v>#REF!</v>
      </c>
      <c r="J31" s="81" t="e">
        <f>I20/C9</f>
        <v>#REF!</v>
      </c>
      <c r="L31" s="461"/>
      <c r="M31" s="462"/>
    </row>
    <row r="32" spans="1:13" s="6" customFormat="1" ht="12" customHeight="1">
      <c r="A32" s="347" t="s">
        <v>36</v>
      </c>
      <c r="B32" s="319" t="s">
        <v>11</v>
      </c>
      <c r="C32" s="253" t="e">
        <f>D32+J32</f>
        <v>#REF!</v>
      </c>
      <c r="D32" s="81" t="e">
        <f>E32+F32+G32+H32+I32</f>
        <v>#REF!</v>
      </c>
      <c r="E32" s="81" t="e">
        <f t="shared" si="2"/>
        <v>#REF!</v>
      </c>
      <c r="F32" s="81" t="e">
        <f t="shared" si="3"/>
        <v>#REF!</v>
      </c>
      <c r="G32" s="81" t="e">
        <f t="shared" si="4"/>
        <v>#REF!</v>
      </c>
      <c r="H32" s="81" t="e">
        <f>ROUND(G21/C10,2)</f>
        <v>#REF!</v>
      </c>
      <c r="I32" s="81" t="e">
        <f>ROUND(H21/C10,2)</f>
        <v>#REF!</v>
      </c>
      <c r="J32" s="81" t="e">
        <f>I21/C10</f>
        <v>#REF!</v>
      </c>
      <c r="L32" s="461"/>
      <c r="M32" s="462"/>
    </row>
    <row r="33" spans="1:13" s="6" customFormat="1" ht="12" customHeight="1">
      <c r="A33" s="347" t="str">
        <f>A22</f>
        <v>"Столичен автотранспорт" ЕАД</v>
      </c>
      <c r="B33" s="319" t="s">
        <v>11</v>
      </c>
      <c r="C33" s="253" t="e">
        <f>D33+J33</f>
        <v>#REF!</v>
      </c>
      <c r="D33" s="81" t="e">
        <f>E33+F33+G33+H33+I33</f>
        <v>#REF!</v>
      </c>
      <c r="E33" s="81" t="e">
        <f t="shared" si="2"/>
        <v>#REF!</v>
      </c>
      <c r="F33" s="81" t="e">
        <f t="shared" si="3"/>
        <v>#REF!</v>
      </c>
      <c r="G33" s="81" t="e">
        <f t="shared" si="4"/>
        <v>#REF!</v>
      </c>
      <c r="H33" s="81" t="e">
        <f>ROUND(G22/C11,2)</f>
        <v>#REF!</v>
      </c>
      <c r="I33" s="81" t="e">
        <f>ROUND(H22/C11,2)</f>
        <v>#REF!</v>
      </c>
      <c r="J33" s="81" t="e">
        <f>I22/C11</f>
        <v>#REF!</v>
      </c>
      <c r="L33" s="461"/>
      <c r="M33" s="462"/>
    </row>
    <row r="34" spans="1:10" s="6" customFormat="1" ht="12" customHeight="1">
      <c r="A34" s="347" t="str">
        <f>A23</f>
        <v>"MTK Гроуп" ООД</v>
      </c>
      <c r="B34" s="319" t="s">
        <v>11</v>
      </c>
      <c r="C34" s="33">
        <v>3</v>
      </c>
      <c r="D34" s="81">
        <v>3</v>
      </c>
      <c r="E34" s="81" t="e">
        <f t="shared" si="2"/>
        <v>#REF!</v>
      </c>
      <c r="F34" s="81" t="e">
        <f t="shared" si="3"/>
        <v>#REF!</v>
      </c>
      <c r="G34" s="81" t="e">
        <f t="shared" si="4"/>
        <v>#REF!</v>
      </c>
      <c r="H34" s="265"/>
      <c r="I34" s="33"/>
      <c r="J34" s="33"/>
    </row>
    <row r="35" spans="1:10" ht="12" customHeight="1" thickBot="1">
      <c r="A35" s="414" t="str">
        <f>+A24</f>
        <v>"Еридатранс" ООД</v>
      </c>
      <c r="B35" s="415" t="s">
        <v>11</v>
      </c>
      <c r="C35" s="416">
        <v>2.57</v>
      </c>
      <c r="D35" s="416">
        <v>2.57</v>
      </c>
      <c r="E35" s="82" t="e">
        <f t="shared" si="2"/>
        <v>#REF!</v>
      </c>
      <c r="F35" s="82" t="e">
        <f t="shared" si="3"/>
        <v>#REF!</v>
      </c>
      <c r="G35" s="82" t="e">
        <f t="shared" si="4"/>
        <v>#REF!</v>
      </c>
      <c r="H35" s="417"/>
      <c r="I35" s="418"/>
      <c r="J35" s="418"/>
    </row>
    <row r="36" spans="1:10" ht="14.25" customHeight="1" thickBot="1">
      <c r="A36" s="350"/>
      <c r="B36" s="351"/>
      <c r="C36" s="270"/>
      <c r="D36" s="439"/>
      <c r="E36" s="389"/>
      <c r="F36" s="389"/>
      <c r="G36" s="389"/>
      <c r="H36" s="389"/>
      <c r="I36" s="389"/>
      <c r="J36" s="389"/>
    </row>
    <row r="37" spans="1:10" ht="19.5" customHeight="1">
      <c r="A37" s="352" t="s">
        <v>12</v>
      </c>
      <c r="B37" s="353" t="s">
        <v>9</v>
      </c>
      <c r="C37" s="271" t="e">
        <f>C38+C40+C43+C45</f>
        <v>#REF!</v>
      </c>
      <c r="D37" s="448"/>
      <c r="E37" s="449"/>
      <c r="F37" s="449"/>
      <c r="G37" s="449"/>
      <c r="H37" s="449"/>
      <c r="I37" s="449"/>
      <c r="J37" s="449"/>
    </row>
    <row r="38" spans="1:11" ht="16.5" customHeight="1">
      <c r="A38" s="307" t="s">
        <v>18</v>
      </c>
      <c r="B38" s="148" t="s">
        <v>9</v>
      </c>
      <c r="C38" s="120" t="e">
        <f>C39</f>
        <v>#REF!</v>
      </c>
      <c r="D38" s="380"/>
      <c r="E38" s="449"/>
      <c r="F38" s="450"/>
      <c r="G38" s="449"/>
      <c r="H38" s="449"/>
      <c r="I38" s="449"/>
      <c r="J38" s="449"/>
      <c r="K38" s="440"/>
    </row>
    <row r="39" spans="1:11" ht="12.75" customHeight="1">
      <c r="A39" s="318" t="s">
        <v>136</v>
      </c>
      <c r="B39" s="319" t="s">
        <v>9</v>
      </c>
      <c r="C39" s="275" t="e">
        <f>+D18</f>
        <v>#REF!</v>
      </c>
      <c r="D39" s="466" t="s">
        <v>167</v>
      </c>
      <c r="E39" s="220"/>
      <c r="F39" s="220"/>
      <c r="G39" s="449"/>
      <c r="H39" s="492" t="s">
        <v>163</v>
      </c>
      <c r="I39" s="451"/>
      <c r="J39" s="395"/>
      <c r="K39" s="440" t="e">
        <f>+C39/C37</f>
        <v>#REF!</v>
      </c>
    </row>
    <row r="40" spans="1:11" ht="12.75" customHeight="1">
      <c r="A40" s="355" t="s">
        <v>13</v>
      </c>
      <c r="B40" s="319" t="s">
        <v>9</v>
      </c>
      <c r="C40" s="356" t="e">
        <f>C41</f>
        <v>#REF!</v>
      </c>
      <c r="D40" s="382"/>
      <c r="E40" s="452"/>
      <c r="F40" s="452"/>
      <c r="G40" s="453"/>
      <c r="H40" s="453"/>
      <c r="I40" s="454"/>
      <c r="J40" s="452"/>
      <c r="K40" s="440"/>
    </row>
    <row r="41" spans="1:11" ht="15" customHeight="1">
      <c r="A41" s="357" t="s">
        <v>31</v>
      </c>
      <c r="B41" s="319" t="s">
        <v>9</v>
      </c>
      <c r="C41" s="358" t="e">
        <f>+F18</f>
        <v>#REF!</v>
      </c>
      <c r="D41" s="466" t="s">
        <v>168</v>
      </c>
      <c r="E41" s="455"/>
      <c r="F41" s="452"/>
      <c r="G41" s="453"/>
      <c r="H41" s="492" t="s">
        <v>164</v>
      </c>
      <c r="I41" s="454"/>
      <c r="J41" s="452"/>
      <c r="K41" s="440" t="e">
        <f>+C41/C37</f>
        <v>#REF!</v>
      </c>
    </row>
    <row r="42" spans="1:12" ht="12" customHeight="1" hidden="1">
      <c r="A42" s="357" t="s">
        <v>14</v>
      </c>
      <c r="B42" s="319" t="s">
        <v>9</v>
      </c>
      <c r="C42" s="358"/>
      <c r="D42" s="383"/>
      <c r="E42" s="469"/>
      <c r="F42" s="470"/>
      <c r="G42" s="469"/>
      <c r="H42" s="493" t="s">
        <v>164</v>
      </c>
      <c r="I42" s="469"/>
      <c r="J42" s="469"/>
      <c r="K42" s="506"/>
      <c r="L42" s="471"/>
    </row>
    <row r="43" spans="1:12" ht="13.5" customHeight="1">
      <c r="A43" s="355" t="s">
        <v>15</v>
      </c>
      <c r="B43" s="319" t="s">
        <v>9</v>
      </c>
      <c r="C43" s="356" t="e">
        <f>C44</f>
        <v>#REF!</v>
      </c>
      <c r="D43" s="382"/>
      <c r="E43" s="491"/>
      <c r="F43" s="472"/>
      <c r="G43" s="473"/>
      <c r="H43" s="493"/>
      <c r="I43" s="474"/>
      <c r="J43" s="469"/>
      <c r="K43" s="506"/>
      <c r="L43" s="471"/>
    </row>
    <row r="44" spans="1:12" ht="12" customHeight="1">
      <c r="A44" s="318" t="s">
        <v>42</v>
      </c>
      <c r="B44" s="319" t="s">
        <v>9</v>
      </c>
      <c r="C44" s="275" t="e">
        <f>+E18</f>
        <v>#REF!</v>
      </c>
      <c r="D44" s="466" t="s">
        <v>169</v>
      </c>
      <c r="E44" s="491"/>
      <c r="F44" s="472"/>
      <c r="G44" s="475"/>
      <c r="H44" s="492" t="s">
        <v>165</v>
      </c>
      <c r="I44" s="476"/>
      <c r="J44" s="469"/>
      <c r="K44" s="458" t="e">
        <f>+C44/C37</f>
        <v>#REF!</v>
      </c>
      <c r="L44" s="471"/>
    </row>
    <row r="45" spans="1:12" ht="15" customHeight="1">
      <c r="A45" s="355" t="s">
        <v>16</v>
      </c>
      <c r="B45" s="319" t="s">
        <v>9</v>
      </c>
      <c r="C45" s="356" t="e">
        <f>C46+C47+C48</f>
        <v>#REF!</v>
      </c>
      <c r="D45" s="382"/>
      <c r="E45" s="475"/>
      <c r="F45" s="477"/>
      <c r="G45" s="478"/>
      <c r="H45" s="475"/>
      <c r="I45" s="479"/>
      <c r="J45" s="480"/>
      <c r="K45" s="458" t="e">
        <f>+C45/C37</f>
        <v>#REF!</v>
      </c>
      <c r="L45" s="471"/>
    </row>
    <row r="46" spans="1:12" s="6" customFormat="1" ht="12" customHeight="1">
      <c r="A46" s="361" t="s">
        <v>4</v>
      </c>
      <c r="B46" s="319" t="s">
        <v>9</v>
      </c>
      <c r="C46" s="275" t="e">
        <f>+G19+G20+H19+H20</f>
        <v>#REF!</v>
      </c>
      <c r="D46" s="381"/>
      <c r="E46" s="475"/>
      <c r="F46" s="477"/>
      <c r="G46" s="478"/>
      <c r="H46" s="475"/>
      <c r="I46" s="479"/>
      <c r="J46" s="480"/>
      <c r="K46" s="507"/>
      <c r="L46" s="481"/>
    </row>
    <row r="47" spans="1:12" s="6" customFormat="1" ht="12" customHeight="1">
      <c r="A47" s="361" t="s">
        <v>5</v>
      </c>
      <c r="B47" s="319" t="s">
        <v>9</v>
      </c>
      <c r="C47" s="275" t="e">
        <f>+G22+H22</f>
        <v>#REF!</v>
      </c>
      <c r="D47" s="183"/>
      <c r="E47" s="475"/>
      <c r="F47" s="477"/>
      <c r="G47" s="478"/>
      <c r="H47" s="475"/>
      <c r="I47" s="479"/>
      <c r="J47" s="480"/>
      <c r="K47" s="507"/>
      <c r="L47" s="481"/>
    </row>
    <row r="48" spans="1:12" s="6" customFormat="1" ht="12" customHeight="1" thickBot="1">
      <c r="A48" s="363" t="s">
        <v>10</v>
      </c>
      <c r="B48" s="193" t="s">
        <v>9</v>
      </c>
      <c r="C48" s="364" t="e">
        <f>+G21+H21</f>
        <v>#REF!</v>
      </c>
      <c r="D48" s="183"/>
      <c r="E48" s="475"/>
      <c r="F48" s="477"/>
      <c r="G48" s="494"/>
      <c r="H48" s="475"/>
      <c r="I48" s="479"/>
      <c r="J48" s="480"/>
      <c r="K48" s="481"/>
      <c r="L48" s="481"/>
    </row>
    <row r="49" spans="1:12" s="6" customFormat="1" ht="12" customHeight="1" thickBot="1">
      <c r="A49" s="351"/>
      <c r="B49" s="182"/>
      <c r="C49" s="183"/>
      <c r="D49" s="183"/>
      <c r="E49" s="475"/>
      <c r="F49" s="477"/>
      <c r="G49" s="494"/>
      <c r="H49" s="475"/>
      <c r="I49" s="477"/>
      <c r="J49" s="482"/>
      <c r="K49" s="481"/>
      <c r="L49" s="481"/>
    </row>
    <row r="50" spans="1:12" s="6" customFormat="1" ht="27.75" customHeight="1">
      <c r="A50" s="165" t="s">
        <v>124</v>
      </c>
      <c r="B50" s="166"/>
      <c r="C50" s="167"/>
      <c r="D50" s="183"/>
      <c r="E50" s="483"/>
      <c r="F50" s="483"/>
      <c r="G50" s="495"/>
      <c r="H50" s="485"/>
      <c r="I50" s="484"/>
      <c r="J50" s="482"/>
      <c r="K50" s="481"/>
      <c r="L50" s="481"/>
    </row>
    <row r="51" spans="1:12" s="6" customFormat="1" ht="28.5" customHeight="1">
      <c r="A51" s="147" t="s">
        <v>55</v>
      </c>
      <c r="B51" s="171" t="s">
        <v>9</v>
      </c>
      <c r="C51" s="172">
        <v>31240</v>
      </c>
      <c r="D51" s="183"/>
      <c r="E51" s="486"/>
      <c r="F51" s="487"/>
      <c r="G51" s="488"/>
      <c r="H51" s="489"/>
      <c r="I51" s="490"/>
      <c r="J51" s="482"/>
      <c r="K51" s="481"/>
      <c r="L51" s="481"/>
    </row>
    <row r="52" spans="1:10" s="6" customFormat="1" ht="28.5" customHeight="1">
      <c r="A52" s="147" t="s">
        <v>56</v>
      </c>
      <c r="B52" s="148" t="s">
        <v>9</v>
      </c>
      <c r="C52" s="116">
        <v>16017</v>
      </c>
      <c r="D52" s="384"/>
      <c r="E52" s="446"/>
      <c r="F52" s="444"/>
      <c r="G52" s="445"/>
      <c r="H52" s="447"/>
      <c r="I52" s="443"/>
      <c r="J52" s="443"/>
    </row>
    <row r="53" spans="1:10" s="6" customFormat="1" ht="15">
      <c r="A53" s="147" t="s">
        <v>126</v>
      </c>
      <c r="B53" s="148" t="s">
        <v>9</v>
      </c>
      <c r="C53" s="116">
        <f>12*756</f>
        <v>9072</v>
      </c>
      <c r="D53" s="183"/>
      <c r="E53" s="443"/>
      <c r="F53" s="444"/>
      <c r="G53" s="445"/>
      <c r="H53" s="447"/>
      <c r="I53" s="443"/>
      <c r="J53" s="443"/>
    </row>
    <row r="54" spans="1:10" s="6" customFormat="1" ht="28.5" customHeight="1">
      <c r="A54" s="175" t="s">
        <v>162</v>
      </c>
      <c r="B54" s="148" t="s">
        <v>9</v>
      </c>
      <c r="C54" s="176">
        <f>10905+7561</f>
        <v>18466</v>
      </c>
      <c r="D54" s="384"/>
      <c r="E54" s="429"/>
      <c r="F54" s="309"/>
      <c r="G54" s="433"/>
      <c r="H54" s="365"/>
      <c r="I54" s="309"/>
      <c r="J54" s="309"/>
    </row>
    <row r="55" spans="1:10" s="6" customFormat="1" ht="28.5" customHeight="1">
      <c r="A55" s="175" t="s">
        <v>44</v>
      </c>
      <c r="B55" s="148" t="s">
        <v>9</v>
      </c>
      <c r="C55" s="176">
        <v>1067</v>
      </c>
      <c r="D55" s="366"/>
      <c r="E55" s="188"/>
      <c r="F55" s="309"/>
      <c r="G55" s="433"/>
      <c r="H55" s="365"/>
      <c r="I55" s="309"/>
      <c r="J55" s="309"/>
    </row>
    <row r="56" spans="1:10" s="6" customFormat="1" ht="28.5" customHeight="1" thickBot="1">
      <c r="A56" s="178" t="s">
        <v>53</v>
      </c>
      <c r="B56" s="179"/>
      <c r="C56" s="180">
        <v>36560</v>
      </c>
      <c r="D56" s="384"/>
      <c r="E56" s="429"/>
      <c r="F56" s="309"/>
      <c r="G56" s="433"/>
      <c r="H56" s="365"/>
      <c r="I56" s="309"/>
      <c r="J56" s="309"/>
    </row>
    <row r="57" spans="1:10" s="6" customFormat="1" ht="12" customHeight="1" thickBot="1">
      <c r="A57" s="351"/>
      <c r="B57" s="182"/>
      <c r="C57" s="183"/>
      <c r="D57" s="366"/>
      <c r="E57" s="188"/>
      <c r="F57" s="309"/>
      <c r="G57" s="433"/>
      <c r="H57" s="365"/>
      <c r="I57" s="309"/>
      <c r="J57" s="309"/>
    </row>
    <row r="58" spans="1:10" s="168" customFormat="1" ht="21.75" customHeight="1" thickBot="1">
      <c r="A58" s="196" t="s">
        <v>151</v>
      </c>
      <c r="B58" s="369" t="s">
        <v>9</v>
      </c>
      <c r="C58" s="197" t="e">
        <f>C18+I18-C37-C62</f>
        <v>#REF!</v>
      </c>
      <c r="D58" s="395"/>
      <c r="E58" s="395"/>
      <c r="F58" s="395"/>
      <c r="G58" s="434"/>
      <c r="H58" s="395"/>
      <c r="I58" s="395"/>
      <c r="J58" s="395"/>
    </row>
    <row r="59" spans="1:10" s="170" customFormat="1" ht="11.25" customHeight="1">
      <c r="A59" s="181"/>
      <c r="B59" s="182"/>
      <c r="C59" s="183"/>
      <c r="D59" s="366"/>
      <c r="E59" s="435"/>
      <c r="F59" s="435"/>
      <c r="G59" s="436"/>
      <c r="H59" s="435"/>
      <c r="I59" s="435"/>
      <c r="J59" s="435"/>
    </row>
    <row r="60" spans="1:10" s="170" customFormat="1" ht="11.25" customHeight="1">
      <c r="A60" s="181"/>
      <c r="B60" s="182"/>
      <c r="C60" s="183"/>
      <c r="D60" s="366"/>
      <c r="E60" s="435"/>
      <c r="F60" s="435"/>
      <c r="G60" s="436"/>
      <c r="H60" s="435"/>
      <c r="I60" s="435"/>
      <c r="J60" s="435"/>
    </row>
    <row r="61" spans="1:196" s="170" customFormat="1" ht="15" customHeight="1" thickBot="1">
      <c r="A61" s="43"/>
      <c r="B61" s="43"/>
      <c r="C61" s="43"/>
      <c r="D61" s="427"/>
      <c r="E61" s="427"/>
      <c r="F61" s="427"/>
      <c r="G61" s="427"/>
      <c r="H61" s="467"/>
      <c r="I61" s="427"/>
      <c r="J61" s="427"/>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0" s="168" customFormat="1" ht="38.25" customHeight="1" thickBot="1">
      <c r="A62" s="184" t="s">
        <v>128</v>
      </c>
      <c r="B62" s="185" t="s">
        <v>9</v>
      </c>
      <c r="C62" s="186" t="e">
        <f>C63+C64</f>
        <v>#REF!</v>
      </c>
      <c r="D62" s="460"/>
      <c r="E62" s="426"/>
      <c r="F62" s="425"/>
      <c r="G62" s="424"/>
      <c r="H62" s="468"/>
      <c r="I62" s="425"/>
      <c r="J62" s="425"/>
    </row>
    <row r="63" spans="1:196" s="170" customFormat="1" ht="14.25" customHeight="1">
      <c r="A63" s="189" t="s">
        <v>68</v>
      </c>
      <c r="B63" s="190" t="s">
        <v>9</v>
      </c>
      <c r="C63" s="191">
        <v>15000</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row>
    <row r="64" spans="1:196" s="170" customFormat="1" ht="14.25" customHeight="1" thickBot="1">
      <c r="A64" s="192" t="s">
        <v>30</v>
      </c>
      <c r="B64" s="193" t="s">
        <v>9</v>
      </c>
      <c r="C64" s="194" t="e">
        <f>+#REF!</f>
        <v>#REF!</v>
      </c>
      <c r="D64" s="431"/>
      <c r="E64" s="431"/>
      <c r="F64" s="44"/>
      <c r="G64" s="431"/>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row>
    <row r="65" spans="1:196"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row>
    <row r="66" spans="1:196" s="170" customFormat="1" ht="14.25">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row>
    <row r="67" spans="1:196" s="170" customFormat="1" ht="27" customHeight="1">
      <c r="A67" s="605" t="s">
        <v>175</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row>
    <row r="68" spans="1:196" s="170" customFormat="1" ht="14.25">
      <c r="A68" s="605" t="s">
        <v>173</v>
      </c>
      <c r="B68" s="605"/>
      <c r="C68" s="605"/>
      <c r="D68" s="605"/>
      <c r="E68" s="605"/>
      <c r="F68" s="605"/>
      <c r="G68" s="605"/>
      <c r="H68" s="605"/>
      <c r="I68" s="605"/>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row>
    <row r="69" spans="1:196" s="457" customFormat="1" ht="33" customHeight="1">
      <c r="A69" s="626" t="s">
        <v>174</v>
      </c>
      <c r="B69" s="626"/>
      <c r="C69" s="626"/>
      <c r="D69" s="626"/>
      <c r="E69" s="626"/>
      <c r="F69" s="626"/>
      <c r="G69" s="626"/>
      <c r="H69" s="626"/>
      <c r="I69" s="626"/>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row>
    <row r="70" spans="1:9" s="170" customFormat="1" ht="44.25" customHeight="1">
      <c r="A70" s="626" t="s">
        <v>147</v>
      </c>
      <c r="B70" s="626"/>
      <c r="C70" s="626"/>
      <c r="D70" s="626"/>
      <c r="E70" s="626"/>
      <c r="F70" s="626"/>
      <c r="G70" s="626"/>
      <c r="H70" s="626"/>
      <c r="I70" s="626"/>
    </row>
    <row r="71" spans="1:3" s="26" customFormat="1" ht="65.25" customHeight="1">
      <c r="A71" s="43"/>
      <c r="B71" s="43"/>
      <c r="C71" s="50"/>
    </row>
    <row r="72" spans="1:6" s="26" customFormat="1" ht="15">
      <c r="A72" s="43"/>
      <c r="B72" s="44"/>
      <c r="C72" s="87"/>
      <c r="E72" s="187" t="s">
        <v>50</v>
      </c>
      <c r="F72" s="168"/>
    </row>
    <row r="73" spans="1:6" s="26" customFormat="1" ht="15">
      <c r="A73" s="48"/>
      <c r="B73" s="49"/>
      <c r="C73" s="149"/>
      <c r="E73" s="44"/>
      <c r="F73" s="44" t="s">
        <v>172</v>
      </c>
    </row>
    <row r="74" spans="1:3" s="26" customFormat="1" ht="15">
      <c r="A74" s="48"/>
      <c r="B74" s="49"/>
      <c r="C74" s="150"/>
    </row>
    <row r="75" spans="1:2" s="26" customFormat="1" ht="15">
      <c r="A75" s="43"/>
      <c r="B75" s="43"/>
    </row>
    <row r="76" spans="1:3" s="26" customFormat="1" ht="14.25">
      <c r="A76" s="573"/>
      <c r="B76" s="573"/>
      <c r="C76" s="87"/>
    </row>
    <row r="77" spans="1:3" s="26" customFormat="1" ht="12.75">
      <c r="A77" s="217"/>
      <c r="C77" s="152"/>
    </row>
    <row r="78" s="26" customFormat="1" ht="12.75"/>
    <row r="79" s="26" customFormat="1" ht="12.75"/>
  </sheetData>
  <sheetProtection/>
  <mergeCells count="24">
    <mergeCell ref="A70:I70"/>
    <mergeCell ref="A76:B76"/>
    <mergeCell ref="I26:I27"/>
    <mergeCell ref="J26:J27"/>
    <mergeCell ref="A66:I66"/>
    <mergeCell ref="A67:I67"/>
    <mergeCell ref="A68:I68"/>
    <mergeCell ref="A69:I69"/>
    <mergeCell ref="J17:J18"/>
    <mergeCell ref="K17:K18"/>
    <mergeCell ref="A26:A27"/>
    <mergeCell ref="B26:B27"/>
    <mergeCell ref="C26:C27"/>
    <mergeCell ref="D26:D27"/>
    <mergeCell ref="E26:E27"/>
    <mergeCell ref="F26:F27"/>
    <mergeCell ref="G26:G27"/>
    <mergeCell ref="H26:H27"/>
    <mergeCell ref="A1:D1"/>
    <mergeCell ref="F1:H1"/>
    <mergeCell ref="A2:D2"/>
    <mergeCell ref="A4:D4"/>
    <mergeCell ref="C5:D5"/>
    <mergeCell ref="C6: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N77"/>
  <sheetViews>
    <sheetView zoomScalePageLayoutView="0" workbookViewId="0" topLeftCell="A21">
      <selection activeCell="L21" sqref="L21"/>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14.8515625" style="0" customWidth="1"/>
    <col min="13" max="13" width="14.421875" style="0" bestFit="1" customWidth="1"/>
    <col min="14" max="14" width="11.421875" style="0" bestFit="1" customWidth="1"/>
    <col min="18" max="18" width="9.57421875" style="0" bestFit="1" customWidth="1"/>
  </cols>
  <sheetData>
    <row r="1" spans="1:10" ht="23.25" customHeight="1">
      <c r="A1" s="606" t="s">
        <v>20</v>
      </c>
      <c r="B1" s="606"/>
      <c r="C1" s="606"/>
      <c r="D1" s="606"/>
      <c r="E1" s="168"/>
      <c r="F1" s="613" t="s">
        <v>144</v>
      </c>
      <c r="G1" s="613"/>
      <c r="H1" s="613"/>
      <c r="I1" s="428"/>
      <c r="J1" s="428"/>
    </row>
    <row r="2" spans="1:10" ht="12.75" customHeight="1">
      <c r="A2" s="608" t="s">
        <v>160</v>
      </c>
      <c r="B2" s="608"/>
      <c r="C2" s="608"/>
      <c r="D2" s="608"/>
      <c r="E2" s="168"/>
      <c r="F2" s="168"/>
      <c r="G2" s="428"/>
      <c r="H2" s="430"/>
      <c r="I2" s="430"/>
      <c r="J2" s="430"/>
    </row>
    <row r="3" spans="1:10" ht="12.75" customHeight="1">
      <c r="A3" s="298"/>
      <c r="B3" s="298"/>
      <c r="C3" s="298"/>
      <c r="D3" s="298"/>
      <c r="E3" s="168"/>
      <c r="F3" s="168"/>
      <c r="G3" s="428"/>
      <c r="H3" s="430"/>
      <c r="I3" s="430"/>
      <c r="J3" s="430"/>
    </row>
    <row r="4" spans="1:10" ht="12.75" customHeight="1">
      <c r="A4" s="609"/>
      <c r="B4" s="609"/>
      <c r="C4" s="609"/>
      <c r="D4" s="609"/>
      <c r="E4" s="168"/>
      <c r="F4" s="168"/>
      <c r="G4" s="428"/>
      <c r="H4" s="428"/>
      <c r="I4" s="428"/>
      <c r="J4" s="428"/>
    </row>
    <row r="5" spans="1:10" ht="22.5" customHeight="1" thickBot="1">
      <c r="A5" s="299"/>
      <c r="B5" s="299"/>
      <c r="C5" s="616"/>
      <c r="D5" s="616"/>
      <c r="E5" s="168"/>
      <c r="F5" s="168"/>
      <c r="G5" s="428"/>
      <c r="H5" s="428"/>
      <c r="I5" s="428"/>
      <c r="J5" s="428"/>
    </row>
    <row r="6" spans="1:10" ht="37.5" customHeight="1" thickBot="1">
      <c r="A6" s="300" t="s">
        <v>0</v>
      </c>
      <c r="B6" s="301" t="s">
        <v>1</v>
      </c>
      <c r="C6" s="610" t="s">
        <v>161</v>
      </c>
      <c r="D6" s="611"/>
      <c r="E6" s="168"/>
      <c r="F6" s="302"/>
      <c r="G6" s="168"/>
      <c r="H6" s="168"/>
      <c r="I6" s="168"/>
      <c r="J6" s="302"/>
    </row>
    <row r="7" spans="1:10" ht="19.5" customHeight="1">
      <c r="A7" s="303" t="s">
        <v>2</v>
      </c>
      <c r="B7" s="304" t="s">
        <v>3</v>
      </c>
      <c r="C7" s="167" t="e">
        <f>SUM(C8:C13)</f>
        <v>#REF!</v>
      </c>
      <c r="D7" s="306" t="e">
        <f>SUM(D8:D13)</f>
        <v>#REF!</v>
      </c>
      <c r="E7" s="169"/>
      <c r="F7" s="168"/>
      <c r="G7" s="168"/>
      <c r="H7" s="168"/>
      <c r="I7" s="168"/>
      <c r="J7" s="168"/>
    </row>
    <row r="8" spans="1:10" s="6" customFormat="1" ht="21" customHeight="1">
      <c r="A8" s="307" t="s">
        <v>4</v>
      </c>
      <c r="B8" s="148" t="s">
        <v>3</v>
      </c>
      <c r="C8" s="120" t="e">
        <f>#REF!</f>
        <v>#REF!</v>
      </c>
      <c r="D8" s="308" t="e">
        <f aca="true" t="shared" si="0" ref="D8:D13">C8/$C$7</f>
        <v>#REF!</v>
      </c>
      <c r="E8" s="339"/>
      <c r="F8" s="437"/>
      <c r="G8" s="438"/>
      <c r="H8" s="412"/>
      <c r="I8" s="309"/>
      <c r="J8" s="310"/>
    </row>
    <row r="9" spans="1:10" s="6" customFormat="1" ht="21" customHeight="1">
      <c r="A9" s="307" t="s">
        <v>145</v>
      </c>
      <c r="B9" s="148" t="s">
        <v>3</v>
      </c>
      <c r="C9" s="120" t="e">
        <f>#REF!</f>
        <v>#REF!</v>
      </c>
      <c r="D9" s="308" t="e">
        <f t="shared" si="0"/>
        <v>#REF!</v>
      </c>
      <c r="E9" s="339"/>
      <c r="F9" s="437"/>
      <c r="G9" s="339"/>
      <c r="H9" s="412"/>
      <c r="I9" s="309"/>
      <c r="J9" s="310"/>
    </row>
    <row r="10" spans="1:10" s="6" customFormat="1" ht="21" customHeight="1">
      <c r="A10" s="307" t="s">
        <v>10</v>
      </c>
      <c r="B10" s="148" t="s">
        <v>3</v>
      </c>
      <c r="C10" s="120" t="e">
        <f>#REF!</f>
        <v>#REF!</v>
      </c>
      <c r="D10" s="308" t="e">
        <f t="shared" si="0"/>
        <v>#REF!</v>
      </c>
      <c r="E10" s="311"/>
      <c r="F10" s="437"/>
      <c r="G10" s="309"/>
      <c r="H10" s="309"/>
      <c r="I10" s="309"/>
      <c r="J10" s="309"/>
    </row>
    <row r="11" spans="1:10" s="6" customFormat="1" ht="21" customHeight="1">
      <c r="A11" s="307" t="s">
        <v>5</v>
      </c>
      <c r="B11" s="148" t="s">
        <v>3</v>
      </c>
      <c r="C11" s="120" t="e">
        <f>#REF!</f>
        <v>#REF!</v>
      </c>
      <c r="D11" s="308" t="e">
        <f t="shared" si="0"/>
        <v>#REF!</v>
      </c>
      <c r="E11" s="339"/>
      <c r="F11" s="437"/>
      <c r="G11" s="339"/>
      <c r="H11" s="309"/>
      <c r="I11" s="309"/>
      <c r="J11" s="309"/>
    </row>
    <row r="12" spans="1:10" s="6" customFormat="1" ht="21" customHeight="1">
      <c r="A12" s="312" t="s">
        <v>120</v>
      </c>
      <c r="B12" s="148" t="s">
        <v>3</v>
      </c>
      <c r="C12" s="120" t="e">
        <f>#REF!</f>
        <v>#REF!</v>
      </c>
      <c r="D12" s="308" t="e">
        <f t="shared" si="0"/>
        <v>#REF!</v>
      </c>
      <c r="E12" s="309"/>
      <c r="F12" s="437"/>
      <c r="G12" s="432"/>
      <c r="H12" s="309"/>
      <c r="I12" s="309"/>
      <c r="J12" s="309"/>
    </row>
    <row r="13" spans="1:10" ht="21" customHeight="1" thickBot="1">
      <c r="A13" s="419" t="s">
        <v>148</v>
      </c>
      <c r="B13" s="420" t="s">
        <v>3</v>
      </c>
      <c r="C13" s="423" t="e">
        <f>#REF!</f>
        <v>#REF!</v>
      </c>
      <c r="D13" s="317" t="e">
        <f t="shared" si="0"/>
        <v>#REF!</v>
      </c>
      <c r="E13" s="339"/>
      <c r="F13" s="168"/>
      <c r="G13" s="168"/>
      <c r="H13" s="168"/>
      <c r="I13" s="168"/>
      <c r="J13" s="395"/>
    </row>
    <row r="14" spans="1:10" ht="12" customHeight="1">
      <c r="A14" s="170"/>
      <c r="B14" s="170"/>
      <c r="C14" s="170"/>
      <c r="D14" s="168"/>
      <c r="E14" s="168"/>
      <c r="F14" s="321"/>
      <c r="G14" s="395"/>
      <c r="H14" s="395"/>
      <c r="I14" s="395"/>
      <c r="J14" s="395"/>
    </row>
    <row r="15" spans="1:10" ht="15.75" customHeight="1" thickBot="1">
      <c r="A15" s="456"/>
      <c r="B15" s="351"/>
      <c r="C15" s="457"/>
      <c r="D15" s="168"/>
      <c r="E15" s="168"/>
      <c r="F15" s="325"/>
      <c r="G15" s="325"/>
      <c r="H15" s="325"/>
      <c r="I15" s="326"/>
      <c r="J15" s="395"/>
    </row>
    <row r="16" spans="1:13" ht="100.5" customHeight="1" thickBot="1">
      <c r="A16" s="300" t="s">
        <v>0</v>
      </c>
      <c r="B16" s="301" t="s">
        <v>1</v>
      </c>
      <c r="C16" s="263" t="s">
        <v>24</v>
      </c>
      <c r="D16" s="263" t="s">
        <v>25</v>
      </c>
      <c r="E16" s="327" t="s">
        <v>41</v>
      </c>
      <c r="F16" s="263" t="s">
        <v>22</v>
      </c>
      <c r="G16" s="297" t="s">
        <v>38</v>
      </c>
      <c r="H16" s="297" t="s">
        <v>39</v>
      </c>
      <c r="I16" s="263" t="s">
        <v>23</v>
      </c>
      <c r="J16" s="463"/>
      <c r="K16" s="405"/>
      <c r="L16" s="405"/>
      <c r="M16" s="26"/>
    </row>
    <row r="17" spans="1:11" ht="16.5" customHeight="1" thickBot="1">
      <c r="A17" s="328">
        <v>1</v>
      </c>
      <c r="B17" s="329">
        <v>2</v>
      </c>
      <c r="C17" s="297">
        <v>3</v>
      </c>
      <c r="D17" s="297">
        <v>4</v>
      </c>
      <c r="E17" s="297">
        <v>5</v>
      </c>
      <c r="F17" s="297">
        <v>6</v>
      </c>
      <c r="G17" s="297">
        <v>7</v>
      </c>
      <c r="H17" s="297">
        <v>8</v>
      </c>
      <c r="I17" s="297">
        <v>9</v>
      </c>
      <c r="J17" s="628" t="s">
        <v>170</v>
      </c>
      <c r="K17" s="618" t="s">
        <v>171</v>
      </c>
    </row>
    <row r="18" spans="1:13" s="108" customFormat="1" ht="19.5" customHeight="1">
      <c r="A18" s="330" t="s">
        <v>33</v>
      </c>
      <c r="B18" s="304" t="s">
        <v>9</v>
      </c>
      <c r="C18" s="260" t="e">
        <f aca="true" t="shared" si="1" ref="C18:I18">SUM(C19:C24)</f>
        <v>#REF!</v>
      </c>
      <c r="D18" s="260" t="e">
        <f t="shared" si="1"/>
        <v>#REF!</v>
      </c>
      <c r="E18" s="260" t="e">
        <f t="shared" si="1"/>
        <v>#REF!</v>
      </c>
      <c r="F18" s="260" t="e">
        <f t="shared" si="1"/>
        <v>#REF!</v>
      </c>
      <c r="G18" s="260" t="e">
        <f t="shared" si="1"/>
        <v>#REF!</v>
      </c>
      <c r="H18" s="260" t="e">
        <f t="shared" si="1"/>
        <v>#REF!</v>
      </c>
      <c r="I18" s="496" t="e">
        <f t="shared" si="1"/>
        <v>#REF!</v>
      </c>
      <c r="J18" s="628"/>
      <c r="K18" s="618"/>
      <c r="L18" s="503"/>
      <c r="M18" s="503"/>
    </row>
    <row r="19" spans="1:19" s="114" customFormat="1" ht="21" customHeight="1">
      <c r="A19" s="307" t="s">
        <v>4</v>
      </c>
      <c r="B19" s="148" t="s">
        <v>9</v>
      </c>
      <c r="C19" s="112" t="e">
        <f>SUM(D19:H19)</f>
        <v>#REF!</v>
      </c>
      <c r="D19" s="112" t="e">
        <f>#REF!</f>
        <v>#REF!</v>
      </c>
      <c r="E19" s="112" t="e">
        <f>#REF!</f>
        <v>#REF!</v>
      </c>
      <c r="F19" s="112" t="e">
        <f>#REF!</f>
        <v>#REF!</v>
      </c>
      <c r="G19" s="112" t="e">
        <f>#REF!</f>
        <v>#REF!</v>
      </c>
      <c r="H19" s="112" t="e">
        <f>#REF!</f>
        <v>#REF!</v>
      </c>
      <c r="I19" s="497" t="e">
        <f>K19+100</f>
        <v>#REF!</v>
      </c>
      <c r="J19" s="464" t="e">
        <f>+ROUND(C8*N19,0)</f>
        <v>#REF!</v>
      </c>
      <c r="K19" s="465" t="e">
        <f>+ROUND(J19-C19,0)</f>
        <v>#REF!</v>
      </c>
      <c r="L19" s="510" t="e">
        <f>+#REF!</f>
        <v>#REF!</v>
      </c>
      <c r="M19" s="502" t="e">
        <f>L19*0.15</f>
        <v>#REF!</v>
      </c>
      <c r="N19" s="499" t="e">
        <f>L19-M19</f>
        <v>#REF!</v>
      </c>
      <c r="P19" s="504"/>
      <c r="R19" s="107"/>
      <c r="S19" s="504"/>
    </row>
    <row r="20" spans="1:19" s="114" customFormat="1" ht="21" customHeight="1">
      <c r="A20" s="307" t="s">
        <v>145</v>
      </c>
      <c r="B20" s="148" t="s">
        <v>9</v>
      </c>
      <c r="C20" s="112" t="e">
        <f>SUM(D20:H20)</f>
        <v>#REF!</v>
      </c>
      <c r="D20" s="112" t="e">
        <f>#REF!</f>
        <v>#REF!</v>
      </c>
      <c r="E20" s="112" t="e">
        <f>#REF!</f>
        <v>#REF!</v>
      </c>
      <c r="F20" s="112" t="e">
        <f>#REF!</f>
        <v>#REF!</v>
      </c>
      <c r="G20" s="112" t="e">
        <f>#REF!</f>
        <v>#REF!</v>
      </c>
      <c r="H20" s="112" t="e">
        <f>#REF!</f>
        <v>#REF!</v>
      </c>
      <c r="I20" s="497" t="e">
        <f>K20+20</f>
        <v>#REF!</v>
      </c>
      <c r="J20" s="464" t="e">
        <f>+ROUND(C9*N20,0)</f>
        <v>#REF!</v>
      </c>
      <c r="K20" s="465" t="e">
        <f>+ROUND(J20-C20,0)</f>
        <v>#REF!</v>
      </c>
      <c r="L20" s="510" t="e">
        <f>+#REF!</f>
        <v>#REF!</v>
      </c>
      <c r="M20" s="502" t="e">
        <f>L20*0.15</f>
        <v>#REF!</v>
      </c>
      <c r="N20" s="499" t="e">
        <f>L20-M20</f>
        <v>#REF!</v>
      </c>
      <c r="P20" s="504"/>
      <c r="R20" s="107"/>
      <c r="S20" s="504"/>
    </row>
    <row r="21" spans="1:19" s="114" customFormat="1" ht="21" customHeight="1">
      <c r="A21" s="307" t="s">
        <v>10</v>
      </c>
      <c r="B21" s="148" t="s">
        <v>9</v>
      </c>
      <c r="C21" s="112" t="e">
        <f>SUM(D21:H21)</f>
        <v>#REF!</v>
      </c>
      <c r="D21" s="112" t="e">
        <f>#REF!</f>
        <v>#REF!</v>
      </c>
      <c r="E21" s="112" t="e">
        <f>#REF!</f>
        <v>#REF!</v>
      </c>
      <c r="F21" s="112" t="e">
        <f>#REF!</f>
        <v>#REF!</v>
      </c>
      <c r="G21" s="112" t="e">
        <f>#REF!</f>
        <v>#REF!</v>
      </c>
      <c r="H21" s="112" t="e">
        <f>#REF!</f>
        <v>#REF!</v>
      </c>
      <c r="I21" s="497" t="e">
        <f>K21+50</f>
        <v>#REF!</v>
      </c>
      <c r="J21" s="464" t="e">
        <f>+ROUND(C10*N21,0)</f>
        <v>#REF!</v>
      </c>
      <c r="K21" s="465" t="e">
        <f>+ROUND(J21-C21,0)</f>
        <v>#REF!</v>
      </c>
      <c r="L21" s="510" t="e">
        <f>+#REF!</f>
        <v>#REF!</v>
      </c>
      <c r="M21" s="502" t="e">
        <f>L21*0.15</f>
        <v>#REF!</v>
      </c>
      <c r="N21" s="499" t="e">
        <f>L21-M21</f>
        <v>#REF!</v>
      </c>
      <c r="P21" s="504"/>
      <c r="R21" s="107"/>
      <c r="S21" s="504"/>
    </row>
    <row r="22" spans="1:19" s="114" customFormat="1" ht="21" customHeight="1">
      <c r="A22" s="307" t="s">
        <v>5</v>
      </c>
      <c r="B22" s="148" t="s">
        <v>9</v>
      </c>
      <c r="C22" s="112" t="e">
        <f>SUM(D22:H22)</f>
        <v>#REF!</v>
      </c>
      <c r="D22" s="112" t="e">
        <f>#REF!</f>
        <v>#REF!</v>
      </c>
      <c r="E22" s="112" t="e">
        <f>#REF!</f>
        <v>#REF!</v>
      </c>
      <c r="F22" s="112" t="e">
        <f>#REF!</f>
        <v>#REF!</v>
      </c>
      <c r="G22" s="112" t="e">
        <f>#REF!</f>
        <v>#REF!</v>
      </c>
      <c r="H22" s="112" t="e">
        <f>#REF!</f>
        <v>#REF!</v>
      </c>
      <c r="I22" s="497" t="e">
        <f>K22+100</f>
        <v>#REF!</v>
      </c>
      <c r="J22" s="464" t="e">
        <f>+ROUND(C11*N22,0)</f>
        <v>#REF!</v>
      </c>
      <c r="K22" s="465" t="e">
        <f>+ROUND(J22-C22,0)</f>
        <v>#REF!</v>
      </c>
      <c r="L22" s="510" t="e">
        <f>+#REF!</f>
        <v>#REF!</v>
      </c>
      <c r="M22" s="502" t="e">
        <f>L22*0.15</f>
        <v>#REF!</v>
      </c>
      <c r="N22" s="499" t="e">
        <f>L22-M22</f>
        <v>#REF!</v>
      </c>
      <c r="P22" s="504"/>
      <c r="R22" s="107"/>
      <c r="S22" s="504"/>
    </row>
    <row r="23" spans="1:19" s="108" customFormat="1" ht="16.5" customHeight="1">
      <c r="A23" s="312" t="s">
        <v>120</v>
      </c>
      <c r="B23" s="148" t="s">
        <v>9</v>
      </c>
      <c r="C23" s="120" t="e">
        <f>ROUND(C12*3,0)</f>
        <v>#REF!</v>
      </c>
      <c r="D23" s="112" t="e">
        <f>#REF!</f>
        <v>#REF!</v>
      </c>
      <c r="E23" s="112" t="e">
        <f>#REF!</f>
        <v>#REF!</v>
      </c>
      <c r="F23" s="112" t="e">
        <f>#REF!</f>
        <v>#REF!</v>
      </c>
      <c r="G23" s="112"/>
      <c r="H23" s="112"/>
      <c r="I23" s="112"/>
      <c r="J23" s="442"/>
      <c r="R23" s="503"/>
      <c r="S23" s="505"/>
    </row>
    <row r="24" spans="1:18" s="108" customFormat="1" ht="21" customHeight="1" thickBot="1">
      <c r="A24" s="422" t="str">
        <f>+A13</f>
        <v>"Еридатранс" ООД</v>
      </c>
      <c r="B24" s="337" t="s">
        <v>9</v>
      </c>
      <c r="C24" s="423" t="e">
        <f>ROUND(C13*2.57,0)</f>
        <v>#REF!</v>
      </c>
      <c r="D24" s="124" t="e">
        <f>#REF!</f>
        <v>#REF!</v>
      </c>
      <c r="E24" s="124" t="e">
        <f>#REF!</f>
        <v>#REF!</v>
      </c>
      <c r="F24" s="124" t="e">
        <f>#REF!</f>
        <v>#REF!</v>
      </c>
      <c r="G24" s="423"/>
      <c r="H24" s="423"/>
      <c r="I24" s="423"/>
      <c r="J24" s="441"/>
      <c r="R24" s="503"/>
    </row>
    <row r="25" spans="1:10" ht="14.25" customHeight="1" thickBot="1">
      <c r="A25" s="338"/>
      <c r="B25" s="182"/>
      <c r="C25" s="261"/>
      <c r="D25" s="168"/>
      <c r="E25" s="168"/>
      <c r="F25" s="262"/>
      <c r="G25" s="168"/>
      <c r="H25" s="168"/>
      <c r="I25" s="170"/>
      <c r="J25" s="309"/>
    </row>
    <row r="26" spans="1:12" ht="44.25" customHeight="1">
      <c r="A26" s="600" t="s">
        <v>0</v>
      </c>
      <c r="B26" s="602" t="s">
        <v>1</v>
      </c>
      <c r="C26" s="593" t="s">
        <v>45</v>
      </c>
      <c r="D26" s="593" t="s">
        <v>67</v>
      </c>
      <c r="E26" s="593" t="s">
        <v>26</v>
      </c>
      <c r="F26" s="593" t="s">
        <v>40</v>
      </c>
      <c r="G26" s="593" t="s">
        <v>27</v>
      </c>
      <c r="H26" s="593" t="s">
        <v>28</v>
      </c>
      <c r="I26" s="593" t="s">
        <v>37</v>
      </c>
      <c r="J26" s="576" t="s">
        <v>29</v>
      </c>
      <c r="L26" s="28"/>
    </row>
    <row r="27" spans="1:10" ht="87.75" customHeight="1" thickBot="1">
      <c r="A27" s="601"/>
      <c r="B27" s="603"/>
      <c r="C27" s="594"/>
      <c r="D27" s="594"/>
      <c r="E27" s="594"/>
      <c r="F27" s="594"/>
      <c r="G27" s="594"/>
      <c r="H27" s="594"/>
      <c r="I27" s="594"/>
      <c r="J27" s="577"/>
    </row>
    <row r="28" spans="1:10" ht="16.5" customHeight="1" thickBot="1">
      <c r="A28" s="340">
        <v>1</v>
      </c>
      <c r="B28" s="301">
        <v>2</v>
      </c>
      <c r="C28" s="263">
        <v>3</v>
      </c>
      <c r="D28" s="263">
        <v>4</v>
      </c>
      <c r="E28" s="263">
        <v>5</v>
      </c>
      <c r="F28" s="263">
        <v>6</v>
      </c>
      <c r="G28" s="263">
        <v>7</v>
      </c>
      <c r="H28" s="263">
        <v>8</v>
      </c>
      <c r="I28" s="263">
        <v>9</v>
      </c>
      <c r="J28" s="263">
        <v>9</v>
      </c>
    </row>
    <row r="29" spans="1:10" ht="16.5" customHeight="1">
      <c r="A29" s="341" t="s">
        <v>34</v>
      </c>
      <c r="B29" s="329"/>
      <c r="C29" s="297"/>
      <c r="D29" s="297"/>
      <c r="E29" s="297"/>
      <c r="F29" s="297"/>
      <c r="G29" s="297"/>
      <c r="H29" s="297"/>
      <c r="I29" s="297"/>
      <c r="J29" s="297"/>
    </row>
    <row r="30" spans="1:13" s="6" customFormat="1" ht="12" customHeight="1">
      <c r="A30" s="344" t="s">
        <v>35</v>
      </c>
      <c r="B30" s="319" t="s">
        <v>11</v>
      </c>
      <c r="C30" s="276" t="e">
        <f>+D30+J30</f>
        <v>#REF!</v>
      </c>
      <c r="D30" s="81" t="e">
        <f>E30+F30+G30+H30+I30</f>
        <v>#REF!</v>
      </c>
      <c r="E30" s="81" t="e">
        <f aca="true" t="shared" si="2" ref="E30:E35">ROUND(D19/C8,2)</f>
        <v>#REF!</v>
      </c>
      <c r="F30" s="81" t="e">
        <f aca="true" t="shared" si="3" ref="F30:F35">ROUND(E19/C8,2)</f>
        <v>#REF!</v>
      </c>
      <c r="G30" s="81" t="e">
        <f aca="true" t="shared" si="4" ref="G30:G35">ROUND(F19/C8,2)</f>
        <v>#REF!</v>
      </c>
      <c r="H30" s="81" t="e">
        <f>ROUND(G19/C8,2)</f>
        <v>#REF!</v>
      </c>
      <c r="I30" s="81" t="e">
        <f>ROUND(H19/C8,2)</f>
        <v>#REF!</v>
      </c>
      <c r="J30" s="81" t="e">
        <f>I19/C8</f>
        <v>#REF!</v>
      </c>
      <c r="L30" s="461"/>
      <c r="M30" s="462"/>
    </row>
    <row r="31" spans="1:13" s="6" customFormat="1" ht="12" customHeight="1">
      <c r="A31" s="344" t="s">
        <v>146</v>
      </c>
      <c r="B31" s="319" t="s">
        <v>11</v>
      </c>
      <c r="C31" s="276" t="e">
        <f>+D31+J31</f>
        <v>#REF!</v>
      </c>
      <c r="D31" s="81" t="e">
        <f>E31+F31+G31+H31+I31</f>
        <v>#REF!</v>
      </c>
      <c r="E31" s="81" t="e">
        <f t="shared" si="2"/>
        <v>#REF!</v>
      </c>
      <c r="F31" s="81" t="e">
        <f t="shared" si="3"/>
        <v>#REF!</v>
      </c>
      <c r="G31" s="81" t="e">
        <f t="shared" si="4"/>
        <v>#REF!</v>
      </c>
      <c r="H31" s="81" t="e">
        <f>ROUND(G20/C9,2)</f>
        <v>#REF!</v>
      </c>
      <c r="I31" s="81" t="e">
        <f>ROUND(H20/C9,2)</f>
        <v>#REF!</v>
      </c>
      <c r="J31" s="81" t="e">
        <f>I20/C9</f>
        <v>#REF!</v>
      </c>
      <c r="L31" s="461"/>
      <c r="M31" s="462"/>
    </row>
    <row r="32" spans="1:13" s="6" customFormat="1" ht="12" customHeight="1">
      <c r="A32" s="347" t="s">
        <v>36</v>
      </c>
      <c r="B32" s="319" t="s">
        <v>11</v>
      </c>
      <c r="C32" s="253" t="e">
        <f>D32+J32</f>
        <v>#REF!</v>
      </c>
      <c r="D32" s="81" t="e">
        <f>E32+F32+G32+H32+I32</f>
        <v>#REF!</v>
      </c>
      <c r="E32" s="81" t="e">
        <f t="shared" si="2"/>
        <v>#REF!</v>
      </c>
      <c r="F32" s="81" t="e">
        <f t="shared" si="3"/>
        <v>#REF!</v>
      </c>
      <c r="G32" s="81" t="e">
        <f t="shared" si="4"/>
        <v>#REF!</v>
      </c>
      <c r="H32" s="81" t="e">
        <f>ROUND(G21/C10,2)</f>
        <v>#REF!</v>
      </c>
      <c r="I32" s="81" t="e">
        <f>ROUND(H21/C10,2)</f>
        <v>#REF!</v>
      </c>
      <c r="J32" s="81" t="e">
        <f>I21/C10</f>
        <v>#REF!</v>
      </c>
      <c r="L32" s="461"/>
      <c r="M32" s="462"/>
    </row>
    <row r="33" spans="1:13" s="6" customFormat="1" ht="12" customHeight="1">
      <c r="A33" s="347" t="str">
        <f>A22</f>
        <v>"Столичен автотранспорт" ЕАД</v>
      </c>
      <c r="B33" s="319" t="s">
        <v>11</v>
      </c>
      <c r="C33" s="253" t="e">
        <f>D33+J33</f>
        <v>#REF!</v>
      </c>
      <c r="D33" s="81" t="e">
        <f>E33+F33+G33+H33+I33</f>
        <v>#REF!</v>
      </c>
      <c r="E33" s="81" t="e">
        <f t="shared" si="2"/>
        <v>#REF!</v>
      </c>
      <c r="F33" s="81" t="e">
        <f t="shared" si="3"/>
        <v>#REF!</v>
      </c>
      <c r="G33" s="81" t="e">
        <f t="shared" si="4"/>
        <v>#REF!</v>
      </c>
      <c r="H33" s="81" t="e">
        <f>ROUND(G22/C11,2)</f>
        <v>#REF!</v>
      </c>
      <c r="I33" s="81" t="e">
        <f>ROUND(H22/C11,2)</f>
        <v>#REF!</v>
      </c>
      <c r="J33" s="81" t="e">
        <f>I22/C11</f>
        <v>#REF!</v>
      </c>
      <c r="L33" s="461"/>
      <c r="M33" s="462"/>
    </row>
    <row r="34" spans="1:10" s="6" customFormat="1" ht="12" customHeight="1">
      <c r="A34" s="347" t="str">
        <f>A23</f>
        <v>"MTK Гроуп" ООД</v>
      </c>
      <c r="B34" s="319" t="s">
        <v>11</v>
      </c>
      <c r="C34" s="33">
        <v>3</v>
      </c>
      <c r="D34" s="81">
        <v>3</v>
      </c>
      <c r="E34" s="81" t="e">
        <f t="shared" si="2"/>
        <v>#REF!</v>
      </c>
      <c r="F34" s="81" t="e">
        <f t="shared" si="3"/>
        <v>#REF!</v>
      </c>
      <c r="G34" s="81" t="e">
        <f t="shared" si="4"/>
        <v>#REF!</v>
      </c>
      <c r="H34" s="265"/>
      <c r="I34" s="33"/>
      <c r="J34" s="33"/>
    </row>
    <row r="35" spans="1:10" ht="12" customHeight="1" thickBot="1">
      <c r="A35" s="414" t="str">
        <f>+A24</f>
        <v>"Еридатранс" ООД</v>
      </c>
      <c r="B35" s="415" t="s">
        <v>11</v>
      </c>
      <c r="C35" s="416">
        <v>2.57</v>
      </c>
      <c r="D35" s="416">
        <v>2.57</v>
      </c>
      <c r="E35" s="82" t="e">
        <f t="shared" si="2"/>
        <v>#REF!</v>
      </c>
      <c r="F35" s="82" t="e">
        <f t="shared" si="3"/>
        <v>#REF!</v>
      </c>
      <c r="G35" s="82" t="e">
        <f t="shared" si="4"/>
        <v>#REF!</v>
      </c>
      <c r="H35" s="417"/>
      <c r="I35" s="418"/>
      <c r="J35" s="418"/>
    </row>
    <row r="36" spans="1:10" ht="14.25" customHeight="1" thickBot="1">
      <c r="A36" s="350"/>
      <c r="B36" s="351"/>
      <c r="C36" s="270"/>
      <c r="D36" s="439"/>
      <c r="E36" s="389"/>
      <c r="F36" s="389"/>
      <c r="G36" s="389"/>
      <c r="H36" s="389"/>
      <c r="I36" s="389"/>
      <c r="J36" s="389"/>
    </row>
    <row r="37" spans="1:10" ht="19.5" customHeight="1">
      <c r="A37" s="352" t="s">
        <v>12</v>
      </c>
      <c r="B37" s="353" t="s">
        <v>9</v>
      </c>
      <c r="C37" s="271" t="e">
        <f>C38+C40+C43+C45</f>
        <v>#REF!</v>
      </c>
      <c r="D37" s="448"/>
      <c r="E37" s="449"/>
      <c r="F37" s="449"/>
      <c r="G37" s="449"/>
      <c r="H37" s="449"/>
      <c r="I37" s="449"/>
      <c r="J37" s="449"/>
    </row>
    <row r="38" spans="1:11" ht="16.5" customHeight="1">
      <c r="A38" s="307" t="s">
        <v>18</v>
      </c>
      <c r="B38" s="148" t="s">
        <v>9</v>
      </c>
      <c r="C38" s="120" t="e">
        <f>C39</f>
        <v>#REF!</v>
      </c>
      <c r="D38" s="380"/>
      <c r="E38" s="449"/>
      <c r="F38" s="450"/>
      <c r="G38" s="449"/>
      <c r="H38" s="449"/>
      <c r="I38" s="449"/>
      <c r="J38" s="449"/>
      <c r="K38" s="440"/>
    </row>
    <row r="39" spans="1:11" ht="12.75" customHeight="1">
      <c r="A39" s="318" t="s">
        <v>136</v>
      </c>
      <c r="B39" s="319" t="s">
        <v>9</v>
      </c>
      <c r="C39" s="275" t="e">
        <f>+D18</f>
        <v>#REF!</v>
      </c>
      <c r="D39" s="466" t="s">
        <v>167</v>
      </c>
      <c r="E39" s="220"/>
      <c r="F39" s="220"/>
      <c r="G39" s="449"/>
      <c r="H39" s="492" t="s">
        <v>163</v>
      </c>
      <c r="I39" s="451"/>
      <c r="J39" s="395"/>
      <c r="K39" s="440" t="e">
        <f>+C39/C37</f>
        <v>#REF!</v>
      </c>
    </row>
    <row r="40" spans="1:11" ht="12.75" customHeight="1">
      <c r="A40" s="355" t="s">
        <v>13</v>
      </c>
      <c r="B40" s="319" t="s">
        <v>9</v>
      </c>
      <c r="C40" s="356" t="e">
        <f>C41</f>
        <v>#REF!</v>
      </c>
      <c r="D40" s="382"/>
      <c r="E40" s="452"/>
      <c r="F40" s="452"/>
      <c r="G40" s="453"/>
      <c r="H40" s="453"/>
      <c r="I40" s="454"/>
      <c r="J40" s="452"/>
      <c r="K40" s="440"/>
    </row>
    <row r="41" spans="1:11" ht="15" customHeight="1">
      <c r="A41" s="357" t="s">
        <v>31</v>
      </c>
      <c r="B41" s="319" t="s">
        <v>9</v>
      </c>
      <c r="C41" s="358" t="e">
        <f>+F18</f>
        <v>#REF!</v>
      </c>
      <c r="D41" s="466" t="s">
        <v>168</v>
      </c>
      <c r="E41" s="455"/>
      <c r="F41" s="452"/>
      <c r="G41" s="453"/>
      <c r="H41" s="492" t="s">
        <v>164</v>
      </c>
      <c r="I41" s="454"/>
      <c r="J41" s="452"/>
      <c r="K41" s="440" t="e">
        <f>+C41/C37</f>
        <v>#REF!</v>
      </c>
    </row>
    <row r="42" spans="1:12" ht="12" customHeight="1" hidden="1">
      <c r="A42" s="357" t="s">
        <v>14</v>
      </c>
      <c r="B42" s="319" t="s">
        <v>9</v>
      </c>
      <c r="C42" s="358"/>
      <c r="D42" s="383"/>
      <c r="E42" s="469"/>
      <c r="F42" s="470"/>
      <c r="G42" s="469"/>
      <c r="H42" s="493" t="s">
        <v>164</v>
      </c>
      <c r="I42" s="469"/>
      <c r="J42" s="469"/>
      <c r="K42" s="506"/>
      <c r="L42" s="471"/>
    </row>
    <row r="43" spans="1:12" ht="13.5" customHeight="1">
      <c r="A43" s="355" t="s">
        <v>15</v>
      </c>
      <c r="B43" s="319" t="s">
        <v>9</v>
      </c>
      <c r="C43" s="356" t="e">
        <f>C44</f>
        <v>#REF!</v>
      </c>
      <c r="D43" s="382"/>
      <c r="E43" s="491"/>
      <c r="F43" s="472"/>
      <c r="G43" s="473"/>
      <c r="H43" s="493"/>
      <c r="I43" s="474"/>
      <c r="J43" s="469"/>
      <c r="K43" s="506"/>
      <c r="L43" s="471"/>
    </row>
    <row r="44" spans="1:12" ht="12" customHeight="1">
      <c r="A44" s="318" t="s">
        <v>42</v>
      </c>
      <c r="B44" s="319" t="s">
        <v>9</v>
      </c>
      <c r="C44" s="275" t="e">
        <f>+E18</f>
        <v>#REF!</v>
      </c>
      <c r="D44" s="466" t="s">
        <v>169</v>
      </c>
      <c r="E44" s="491"/>
      <c r="F44" s="472"/>
      <c r="G44" s="475"/>
      <c r="H44" s="492" t="s">
        <v>165</v>
      </c>
      <c r="I44" s="476"/>
      <c r="J44" s="469"/>
      <c r="K44" s="458" t="e">
        <f>+C44/C37</f>
        <v>#REF!</v>
      </c>
      <c r="L44" s="471"/>
    </row>
    <row r="45" spans="1:12" ht="15" customHeight="1">
      <c r="A45" s="355" t="s">
        <v>16</v>
      </c>
      <c r="B45" s="319" t="s">
        <v>9</v>
      </c>
      <c r="C45" s="356" t="e">
        <f>C46+C47+C48</f>
        <v>#REF!</v>
      </c>
      <c r="D45" s="382"/>
      <c r="E45" s="475"/>
      <c r="F45" s="477"/>
      <c r="G45" s="478"/>
      <c r="H45" s="475"/>
      <c r="I45" s="479"/>
      <c r="J45" s="480"/>
      <c r="K45" s="458" t="e">
        <f>+C45/C37</f>
        <v>#REF!</v>
      </c>
      <c r="L45" s="471"/>
    </row>
    <row r="46" spans="1:12" s="6" customFormat="1" ht="12" customHeight="1">
      <c r="A46" s="361" t="s">
        <v>4</v>
      </c>
      <c r="B46" s="319" t="s">
        <v>9</v>
      </c>
      <c r="C46" s="275" t="e">
        <f>+G19+G20+H19+H20</f>
        <v>#REF!</v>
      </c>
      <c r="D46" s="381"/>
      <c r="E46" s="475"/>
      <c r="F46" s="477"/>
      <c r="G46" s="478"/>
      <c r="H46" s="475"/>
      <c r="I46" s="479"/>
      <c r="J46" s="480"/>
      <c r="K46" s="507"/>
      <c r="L46" s="481"/>
    </row>
    <row r="47" spans="1:12" s="6" customFormat="1" ht="12" customHeight="1">
      <c r="A47" s="361" t="s">
        <v>5</v>
      </c>
      <c r="B47" s="319" t="s">
        <v>9</v>
      </c>
      <c r="C47" s="275" t="e">
        <f>+G22+H22</f>
        <v>#REF!</v>
      </c>
      <c r="D47" s="183"/>
      <c r="E47" s="475"/>
      <c r="F47" s="477"/>
      <c r="G47" s="478"/>
      <c r="H47" s="475"/>
      <c r="I47" s="479"/>
      <c r="J47" s="480"/>
      <c r="K47" s="507"/>
      <c r="L47" s="481"/>
    </row>
    <row r="48" spans="1:12" s="6" customFormat="1" ht="12" customHeight="1" thickBot="1">
      <c r="A48" s="363" t="s">
        <v>10</v>
      </c>
      <c r="B48" s="193" t="s">
        <v>9</v>
      </c>
      <c r="C48" s="364" t="e">
        <f>+G21+H21</f>
        <v>#REF!</v>
      </c>
      <c r="D48" s="183"/>
      <c r="E48" s="475"/>
      <c r="F48" s="477"/>
      <c r="G48" s="494"/>
      <c r="H48" s="475"/>
      <c r="I48" s="479"/>
      <c r="J48" s="480"/>
      <c r="K48" s="481"/>
      <c r="L48" s="481"/>
    </row>
    <row r="49" spans="1:12" s="6" customFormat="1" ht="12" customHeight="1" thickBot="1">
      <c r="A49" s="351"/>
      <c r="B49" s="182"/>
      <c r="C49" s="183"/>
      <c r="D49" s="183"/>
      <c r="E49" s="475"/>
      <c r="F49" s="477"/>
      <c r="G49" s="494"/>
      <c r="H49" s="475"/>
      <c r="I49" s="477"/>
      <c r="J49" s="482"/>
      <c r="K49" s="481"/>
      <c r="L49" s="481"/>
    </row>
    <row r="50" spans="1:12" s="6" customFormat="1" ht="27.75" customHeight="1">
      <c r="A50" s="165" t="s">
        <v>124</v>
      </c>
      <c r="B50" s="166"/>
      <c r="C50" s="167"/>
      <c r="D50" s="183"/>
      <c r="E50" s="483"/>
      <c r="F50" s="483"/>
      <c r="G50" s="495"/>
      <c r="H50" s="485"/>
      <c r="I50" s="484"/>
      <c r="J50" s="482"/>
      <c r="K50" s="481"/>
      <c r="L50" s="481"/>
    </row>
    <row r="51" spans="1:12" s="6" customFormat="1" ht="28.5" customHeight="1">
      <c r="A51" s="147" t="s">
        <v>55</v>
      </c>
      <c r="B51" s="171" t="s">
        <v>9</v>
      </c>
      <c r="C51" s="172">
        <v>31240</v>
      </c>
      <c r="D51" s="183"/>
      <c r="E51" s="486"/>
      <c r="F51" s="487"/>
      <c r="G51" s="488"/>
      <c r="H51" s="489"/>
      <c r="I51" s="490"/>
      <c r="J51" s="482"/>
      <c r="K51" s="481"/>
      <c r="L51" s="481"/>
    </row>
    <row r="52" spans="1:10" s="6" customFormat="1" ht="28.5" customHeight="1">
      <c r="A52" s="147" t="s">
        <v>56</v>
      </c>
      <c r="B52" s="148" t="s">
        <v>9</v>
      </c>
      <c r="C52" s="116">
        <v>16017</v>
      </c>
      <c r="D52" s="384"/>
      <c r="E52" s="446"/>
      <c r="F52" s="444"/>
      <c r="G52" s="445"/>
      <c r="H52" s="447"/>
      <c r="I52" s="443"/>
      <c r="J52" s="443"/>
    </row>
    <row r="53" spans="1:10" s="6" customFormat="1" ht="15">
      <c r="A53" s="147" t="s">
        <v>126</v>
      </c>
      <c r="B53" s="148" t="s">
        <v>9</v>
      </c>
      <c r="C53" s="116">
        <f>12*756</f>
        <v>9072</v>
      </c>
      <c r="D53" s="183"/>
      <c r="E53" s="443"/>
      <c r="F53" s="444"/>
      <c r="G53" s="445"/>
      <c r="H53" s="447"/>
      <c r="I53" s="443"/>
      <c r="J53" s="443"/>
    </row>
    <row r="54" spans="1:10" s="6" customFormat="1" ht="28.5" customHeight="1">
      <c r="A54" s="175" t="s">
        <v>162</v>
      </c>
      <c r="B54" s="148" t="s">
        <v>9</v>
      </c>
      <c r="C54" s="176">
        <f>10905+7561</f>
        <v>18466</v>
      </c>
      <c r="D54" s="384"/>
      <c r="E54" s="429"/>
      <c r="F54" s="309"/>
      <c r="G54" s="433"/>
      <c r="H54" s="365"/>
      <c r="I54" s="309"/>
      <c r="J54" s="309"/>
    </row>
    <row r="55" spans="1:10" s="6" customFormat="1" ht="28.5" customHeight="1">
      <c r="A55" s="175" t="s">
        <v>44</v>
      </c>
      <c r="B55" s="148" t="s">
        <v>9</v>
      </c>
      <c r="C55" s="176">
        <v>1067</v>
      </c>
      <c r="D55" s="366"/>
      <c r="E55" s="188"/>
      <c r="F55" s="309"/>
      <c r="G55" s="433"/>
      <c r="H55" s="365"/>
      <c r="I55" s="309"/>
      <c r="J55" s="309"/>
    </row>
    <row r="56" spans="1:10" s="6" customFormat="1" ht="28.5" customHeight="1" thickBot="1">
      <c r="A56" s="178" t="s">
        <v>53</v>
      </c>
      <c r="B56" s="179"/>
      <c r="C56" s="180">
        <v>36560</v>
      </c>
      <c r="D56" s="384"/>
      <c r="E56" s="429"/>
      <c r="F56" s="309"/>
      <c r="G56" s="433"/>
      <c r="H56" s="365"/>
      <c r="I56" s="309"/>
      <c r="J56" s="309"/>
    </row>
    <row r="57" spans="1:10" s="6" customFormat="1" ht="12" customHeight="1" thickBot="1">
      <c r="A57" s="351"/>
      <c r="B57" s="182"/>
      <c r="C57" s="183"/>
      <c r="D57" s="366"/>
      <c r="E57" s="188"/>
      <c r="F57" s="309"/>
      <c r="G57" s="433"/>
      <c r="H57" s="365"/>
      <c r="I57" s="309"/>
      <c r="J57" s="309"/>
    </row>
    <row r="58" spans="1:10" s="168" customFormat="1" ht="21.75" customHeight="1" thickBot="1">
      <c r="A58" s="196" t="s">
        <v>151</v>
      </c>
      <c r="B58" s="369" t="s">
        <v>9</v>
      </c>
      <c r="C58" s="197" t="e">
        <f>C18+I18-C37-C62</f>
        <v>#REF!</v>
      </c>
      <c r="D58" s="395"/>
      <c r="E58" s="395"/>
      <c r="F58" s="395"/>
      <c r="G58" s="434"/>
      <c r="H58" s="395"/>
      <c r="I58" s="395"/>
      <c r="J58" s="395"/>
    </row>
    <row r="59" spans="1:10" s="170" customFormat="1" ht="11.25" customHeight="1">
      <c r="A59" s="181"/>
      <c r="B59" s="182"/>
      <c r="C59" s="183"/>
      <c r="D59" s="366"/>
      <c r="E59" s="435"/>
      <c r="F59" s="435"/>
      <c r="G59" s="436"/>
      <c r="H59" s="435"/>
      <c r="I59" s="435"/>
      <c r="J59" s="435"/>
    </row>
    <row r="60" spans="1:10" s="170" customFormat="1" ht="11.25" customHeight="1">
      <c r="A60" s="181"/>
      <c r="B60" s="182"/>
      <c r="C60" s="183"/>
      <c r="D60" s="366"/>
      <c r="E60" s="435"/>
      <c r="F60" s="435"/>
      <c r="G60" s="436"/>
      <c r="H60" s="435"/>
      <c r="I60" s="435"/>
      <c r="J60" s="435"/>
    </row>
    <row r="61" spans="1:196" s="170" customFormat="1" ht="15" customHeight="1" thickBot="1">
      <c r="A61" s="43"/>
      <c r="B61" s="43"/>
      <c r="C61" s="43"/>
      <c r="D61" s="427"/>
      <c r="E61" s="427"/>
      <c r="F61" s="427"/>
      <c r="G61" s="427"/>
      <c r="H61" s="467"/>
      <c r="I61" s="427"/>
      <c r="J61" s="427"/>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0" s="168" customFormat="1" ht="38.25" customHeight="1" thickBot="1">
      <c r="A62" s="184" t="s">
        <v>128</v>
      </c>
      <c r="B62" s="185" t="s">
        <v>9</v>
      </c>
      <c r="C62" s="186" t="e">
        <f>C63+C64</f>
        <v>#REF!</v>
      </c>
      <c r="D62" s="460"/>
      <c r="E62" s="426"/>
      <c r="F62" s="425"/>
      <c r="G62" s="424"/>
      <c r="H62" s="468"/>
      <c r="I62" s="425"/>
      <c r="J62" s="425"/>
    </row>
    <row r="63" spans="1:196" s="170" customFormat="1" ht="14.25" customHeight="1">
      <c r="A63" s="189" t="s">
        <v>68</v>
      </c>
      <c r="B63" s="190" t="s">
        <v>9</v>
      </c>
      <c r="C63" s="191">
        <v>15000</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row>
    <row r="64" spans="1:196" s="170" customFormat="1" ht="14.25" customHeight="1" thickBot="1">
      <c r="A64" s="192" t="s">
        <v>30</v>
      </c>
      <c r="B64" s="193" t="s">
        <v>9</v>
      </c>
      <c r="C64" s="194" t="e">
        <f>+#REF!</f>
        <v>#REF!</v>
      </c>
      <c r="D64" s="431"/>
      <c r="E64" s="431"/>
      <c r="F64" s="44"/>
      <c r="G64" s="431"/>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row>
    <row r="65" spans="1:196"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row>
    <row r="66" spans="1:196" s="170" customFormat="1" ht="14.25">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row>
    <row r="67" spans="1:196" s="170" customFormat="1" ht="27" customHeight="1">
      <c r="A67" s="605" t="s">
        <v>175</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row>
    <row r="68" spans="1:196" s="170" customFormat="1" ht="14.25">
      <c r="A68" s="605" t="s">
        <v>173</v>
      </c>
      <c r="B68" s="605"/>
      <c r="C68" s="605"/>
      <c r="D68" s="605"/>
      <c r="E68" s="605"/>
      <c r="F68" s="605"/>
      <c r="G68" s="605"/>
      <c r="H68" s="605"/>
      <c r="I68" s="605"/>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row>
    <row r="69" spans="1:196" s="457" customFormat="1" ht="33" customHeight="1">
      <c r="A69" s="626" t="s">
        <v>174</v>
      </c>
      <c r="B69" s="626"/>
      <c r="C69" s="626"/>
      <c r="D69" s="626"/>
      <c r="E69" s="626"/>
      <c r="F69" s="626"/>
      <c r="G69" s="626"/>
      <c r="H69" s="626"/>
      <c r="I69" s="626"/>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row>
    <row r="70" spans="1:9" s="170" customFormat="1" ht="44.25" customHeight="1">
      <c r="A70" s="626" t="s">
        <v>147</v>
      </c>
      <c r="B70" s="626"/>
      <c r="C70" s="626"/>
      <c r="D70" s="626"/>
      <c r="E70" s="626"/>
      <c r="F70" s="626"/>
      <c r="G70" s="626"/>
      <c r="H70" s="626"/>
      <c r="I70" s="626"/>
    </row>
    <row r="71" spans="1:3" s="26" customFormat="1" ht="65.25" customHeight="1">
      <c r="A71" s="43"/>
      <c r="B71" s="43"/>
      <c r="C71" s="50"/>
    </row>
    <row r="72" spans="1:6" s="26" customFormat="1" ht="15">
      <c r="A72" s="43"/>
      <c r="B72" s="44"/>
      <c r="C72" s="87"/>
      <c r="E72" s="187" t="s">
        <v>50</v>
      </c>
      <c r="F72" s="168"/>
    </row>
    <row r="73" spans="1:6" s="26" customFormat="1" ht="15">
      <c r="A73" s="48"/>
      <c r="B73" s="49"/>
      <c r="C73" s="149"/>
      <c r="E73" s="44"/>
      <c r="F73" s="44" t="s">
        <v>172</v>
      </c>
    </row>
    <row r="74" spans="1:3" s="26" customFormat="1" ht="15">
      <c r="A74" s="48"/>
      <c r="B74" s="49"/>
      <c r="C74" s="150"/>
    </row>
    <row r="75" spans="1:2" s="26" customFormat="1" ht="15">
      <c r="A75" s="43"/>
      <c r="B75" s="43"/>
    </row>
    <row r="76" spans="1:3" s="26" customFormat="1" ht="14.25">
      <c r="A76" s="573"/>
      <c r="B76" s="573"/>
      <c r="C76" s="87"/>
    </row>
    <row r="77" spans="1:3" s="26" customFormat="1" ht="12.75">
      <c r="A77" s="217"/>
      <c r="C77" s="152"/>
    </row>
    <row r="78" s="26" customFormat="1" ht="12.75"/>
    <row r="79" s="26" customFormat="1" ht="12.75"/>
  </sheetData>
  <sheetProtection/>
  <mergeCells count="24">
    <mergeCell ref="A70:I70"/>
    <mergeCell ref="A76:B76"/>
    <mergeCell ref="I26:I27"/>
    <mergeCell ref="J26:J27"/>
    <mergeCell ref="A66:I66"/>
    <mergeCell ref="A67:I67"/>
    <mergeCell ref="A68:I68"/>
    <mergeCell ref="A69:I69"/>
    <mergeCell ref="J17:J18"/>
    <mergeCell ref="K17:K18"/>
    <mergeCell ref="A26:A27"/>
    <mergeCell ref="B26:B27"/>
    <mergeCell ref="C26:C27"/>
    <mergeCell ref="D26:D27"/>
    <mergeCell ref="E26:E27"/>
    <mergeCell ref="F26:F27"/>
    <mergeCell ref="G26:G27"/>
    <mergeCell ref="H26:H27"/>
    <mergeCell ref="A1:D1"/>
    <mergeCell ref="F1:H1"/>
    <mergeCell ref="A2:D2"/>
    <mergeCell ref="A4:D4"/>
    <mergeCell ref="C5:D5"/>
    <mergeCell ref="C6:D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HD76"/>
  <sheetViews>
    <sheetView zoomScalePageLayoutView="0" workbookViewId="0" topLeftCell="A1">
      <selection activeCell="K33" sqref="K33"/>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1" width="13.8515625" style="0" customWidth="1"/>
    <col min="12" max="12" width="14.57421875" style="0" customWidth="1"/>
    <col min="13" max="13" width="11.421875" style="0" bestFit="1" customWidth="1"/>
    <col min="14" max="14" width="11.421875" style="0" customWidth="1"/>
    <col min="15" max="15" width="13.57421875" style="0" customWidth="1"/>
    <col min="16" max="16" width="11.421875" style="0" customWidth="1"/>
    <col min="17" max="17" width="12.140625" style="26" customWidth="1"/>
    <col min="18" max="18" width="15.8515625" style="26" bestFit="1" customWidth="1"/>
    <col min="19" max="19" width="11.140625" style="26" customWidth="1"/>
    <col min="20" max="24" width="9.140625" style="26" customWidth="1"/>
  </cols>
  <sheetData>
    <row r="1" spans="1:16" ht="23.25" customHeight="1">
      <c r="A1" s="606" t="s">
        <v>20</v>
      </c>
      <c r="B1" s="606"/>
      <c r="C1" s="606"/>
      <c r="D1" s="606"/>
      <c r="E1" s="168"/>
      <c r="F1" s="168"/>
      <c r="G1" s="607"/>
      <c r="H1" s="607"/>
      <c r="I1" s="607"/>
      <c r="J1" s="607"/>
      <c r="K1" s="400"/>
      <c r="L1" s="168"/>
      <c r="M1" s="168"/>
      <c r="N1" s="168"/>
      <c r="O1" s="168"/>
      <c r="P1" s="168"/>
    </row>
    <row r="2" spans="1:16" ht="12.75" customHeight="1">
      <c r="A2" s="608" t="s">
        <v>142</v>
      </c>
      <c r="B2" s="608"/>
      <c r="C2" s="608"/>
      <c r="D2" s="608"/>
      <c r="E2" s="168"/>
      <c r="F2" s="168"/>
      <c r="G2" s="607"/>
      <c r="H2" s="607"/>
      <c r="I2" s="607"/>
      <c r="J2" s="607"/>
      <c r="K2" s="400"/>
      <c r="L2" s="168"/>
      <c r="M2" s="168"/>
      <c r="N2" s="168"/>
      <c r="O2" s="168"/>
      <c r="P2" s="168"/>
    </row>
    <row r="3" spans="1:16" ht="12.75" customHeight="1">
      <c r="A3" s="298"/>
      <c r="B3" s="298"/>
      <c r="C3" s="298"/>
      <c r="D3" s="298"/>
      <c r="E3" s="168"/>
      <c r="F3" s="168"/>
      <c r="G3" s="607"/>
      <c r="H3" s="607"/>
      <c r="I3" s="607"/>
      <c r="J3" s="607"/>
      <c r="K3" s="400"/>
      <c r="L3" s="168"/>
      <c r="M3" s="168"/>
      <c r="N3" s="168"/>
      <c r="O3" s="168"/>
      <c r="P3" s="168"/>
    </row>
    <row r="4" spans="1:16" ht="12.75" customHeight="1">
      <c r="A4" s="609"/>
      <c r="B4" s="609"/>
      <c r="C4" s="609"/>
      <c r="D4" s="609"/>
      <c r="E4" s="168"/>
      <c r="F4" s="168"/>
      <c r="G4" s="607"/>
      <c r="H4" s="607"/>
      <c r="I4" s="607"/>
      <c r="J4" s="607"/>
      <c r="K4" s="400"/>
      <c r="L4" s="168"/>
      <c r="M4" s="168"/>
      <c r="N4" s="168"/>
      <c r="O4" s="168"/>
      <c r="P4" s="168"/>
    </row>
    <row r="5" spans="1:16" ht="22.5" customHeight="1" thickBot="1">
      <c r="A5" s="299"/>
      <c r="B5" s="299"/>
      <c r="C5" s="616" t="s">
        <v>77</v>
      </c>
      <c r="D5" s="616"/>
      <c r="E5" s="168"/>
      <c r="F5" s="168"/>
      <c r="G5" s="607"/>
      <c r="H5" s="607"/>
      <c r="I5" s="607"/>
      <c r="J5" s="607"/>
      <c r="K5" s="400"/>
      <c r="L5" s="168"/>
      <c r="M5" s="168"/>
      <c r="N5" s="168"/>
      <c r="O5" s="168"/>
      <c r="P5" s="168"/>
    </row>
    <row r="6" spans="1:16" ht="37.5" customHeight="1" thickBot="1">
      <c r="A6" s="300" t="s">
        <v>0</v>
      </c>
      <c r="B6" s="301" t="s">
        <v>1</v>
      </c>
      <c r="C6" s="610" t="s">
        <v>143</v>
      </c>
      <c r="D6" s="611"/>
      <c r="E6" s="168"/>
      <c r="F6" s="302"/>
      <c r="G6" s="168"/>
      <c r="H6" s="168"/>
      <c r="I6" s="168"/>
      <c r="J6" s="302"/>
      <c r="K6" s="302"/>
      <c r="L6" s="302"/>
      <c r="M6" s="302"/>
      <c r="N6" s="302"/>
      <c r="O6" s="302"/>
      <c r="P6" s="302"/>
    </row>
    <row r="7" spans="1:16" ht="19.5" customHeight="1">
      <c r="A7" s="303" t="s">
        <v>2</v>
      </c>
      <c r="B7" s="304" t="s">
        <v>3</v>
      </c>
      <c r="C7" s="305">
        <f>SUM(C8:C13)</f>
        <v>62277</v>
      </c>
      <c r="D7" s="306">
        <f>SUM(D8:D13)</f>
        <v>1</v>
      </c>
      <c r="E7" s="168"/>
      <c r="F7" s="168"/>
      <c r="G7" s="168"/>
      <c r="H7" s="168"/>
      <c r="I7" s="168"/>
      <c r="J7" s="168"/>
      <c r="K7" s="168"/>
      <c r="L7" s="168"/>
      <c r="M7" s="168"/>
      <c r="N7" s="168"/>
      <c r="O7" s="168"/>
      <c r="P7" s="168"/>
    </row>
    <row r="8" spans="1:24" s="6" customFormat="1" ht="21" customHeight="1">
      <c r="A8" s="307" t="s">
        <v>4</v>
      </c>
      <c r="B8" s="148" t="s">
        <v>3</v>
      </c>
      <c r="C8" s="120">
        <v>14858</v>
      </c>
      <c r="D8" s="308">
        <f aca="true" t="shared" si="0" ref="D8:D13">C8/$C$7</f>
        <v>0.23857925076673572</v>
      </c>
      <c r="E8" s="339"/>
      <c r="F8" s="411"/>
      <c r="G8" s="339"/>
      <c r="H8" s="412"/>
      <c r="I8" s="309"/>
      <c r="J8" s="310"/>
      <c r="K8" s="310"/>
      <c r="L8" s="310"/>
      <c r="M8" s="310"/>
      <c r="N8" s="310"/>
      <c r="O8" s="310"/>
      <c r="P8" s="310"/>
      <c r="Q8" s="35"/>
      <c r="R8" s="35"/>
      <c r="S8" s="35"/>
      <c r="T8" s="35"/>
      <c r="U8" s="35"/>
      <c r="V8" s="35"/>
      <c r="W8" s="35"/>
      <c r="X8" s="35"/>
    </row>
    <row r="9" spans="1:24" s="6" customFormat="1" ht="21" customHeight="1">
      <c r="A9" s="307" t="s">
        <v>8</v>
      </c>
      <c r="B9" s="148" t="s">
        <v>3</v>
      </c>
      <c r="C9" s="120">
        <v>4748</v>
      </c>
      <c r="D9" s="308">
        <f t="shared" si="0"/>
        <v>0.07624002440708448</v>
      </c>
      <c r="E9" s="311"/>
      <c r="F9" s="309"/>
      <c r="G9" s="309"/>
      <c r="H9" s="309"/>
      <c r="I9" s="309"/>
      <c r="J9" s="309"/>
      <c r="K9" s="309"/>
      <c r="L9" s="309"/>
      <c r="M9" s="309"/>
      <c r="N9" s="309"/>
      <c r="O9" s="309"/>
      <c r="P9" s="309"/>
      <c r="Q9" s="35"/>
      <c r="R9" s="35"/>
      <c r="S9" s="35"/>
      <c r="T9" s="35"/>
      <c r="U9" s="35"/>
      <c r="V9" s="35"/>
      <c r="W9" s="35"/>
      <c r="X9" s="35"/>
    </row>
    <row r="10" spans="1:24" s="6" customFormat="1" ht="21" customHeight="1">
      <c r="A10" s="307" t="s">
        <v>5</v>
      </c>
      <c r="B10" s="148" t="s">
        <v>3</v>
      </c>
      <c r="C10" s="120">
        <v>36556</v>
      </c>
      <c r="D10" s="308">
        <f t="shared" si="0"/>
        <v>0.5869903816818408</v>
      </c>
      <c r="E10" s="309"/>
      <c r="F10" s="309"/>
      <c r="G10" s="339"/>
      <c r="H10" s="309"/>
      <c r="I10" s="309"/>
      <c r="J10" s="309"/>
      <c r="K10" s="309"/>
      <c r="L10" s="309"/>
      <c r="M10" s="309"/>
      <c r="N10" s="309"/>
      <c r="O10" s="309"/>
      <c r="P10" s="309"/>
      <c r="Q10" s="35"/>
      <c r="R10" s="35"/>
      <c r="S10" s="35"/>
      <c r="T10" s="35"/>
      <c r="U10" s="35"/>
      <c r="V10" s="35"/>
      <c r="W10" s="35"/>
      <c r="X10" s="35"/>
    </row>
    <row r="11" spans="1:24" s="6" customFormat="1" ht="21" customHeight="1">
      <c r="A11" s="312" t="s">
        <v>120</v>
      </c>
      <c r="B11" s="148" t="s">
        <v>3</v>
      </c>
      <c r="C11" s="313">
        <v>6115</v>
      </c>
      <c r="D11" s="308">
        <f t="shared" si="0"/>
        <v>0.098190343144339</v>
      </c>
      <c r="E11" s="309"/>
      <c r="F11" s="309"/>
      <c r="G11" s="309"/>
      <c r="H11" s="309"/>
      <c r="I11" s="309"/>
      <c r="J11" s="309"/>
      <c r="K11" s="309"/>
      <c r="L11" s="309"/>
      <c r="M11" s="309"/>
      <c r="N11" s="309"/>
      <c r="O11" s="309"/>
      <c r="P11" s="309"/>
      <c r="Q11" s="35"/>
      <c r="R11" s="35"/>
      <c r="S11" s="35"/>
      <c r="T11" s="35"/>
      <c r="U11" s="35"/>
      <c r="V11" s="35"/>
      <c r="W11" s="35"/>
      <c r="X11" s="35"/>
    </row>
    <row r="12" spans="1:19" ht="21" customHeight="1">
      <c r="A12" s="314" t="s">
        <v>65</v>
      </c>
      <c r="B12" s="315" t="s">
        <v>3</v>
      </c>
      <c r="C12" s="313"/>
      <c r="D12" s="308">
        <f t="shared" si="0"/>
        <v>0</v>
      </c>
      <c r="E12" s="168"/>
      <c r="F12" s="168"/>
      <c r="G12" s="168"/>
      <c r="H12" s="168"/>
      <c r="I12" s="168"/>
      <c r="J12" s="168"/>
      <c r="K12" s="168"/>
      <c r="L12" s="168"/>
      <c r="M12" s="169"/>
      <c r="N12" s="169"/>
      <c r="O12" s="169"/>
      <c r="P12" s="169"/>
      <c r="S12" s="50"/>
    </row>
    <row r="13" spans="1:19" ht="21" customHeight="1" thickBot="1">
      <c r="A13" s="307" t="s">
        <v>66</v>
      </c>
      <c r="B13" s="148" t="s">
        <v>3</v>
      </c>
      <c r="C13" s="316"/>
      <c r="D13" s="317">
        <f t="shared" si="0"/>
        <v>0</v>
      </c>
      <c r="E13" s="168"/>
      <c r="F13" s="168"/>
      <c r="G13" s="168"/>
      <c r="H13" s="168"/>
      <c r="I13" s="170"/>
      <c r="J13" s="168"/>
      <c r="K13" s="168"/>
      <c r="L13" s="168"/>
      <c r="M13" s="168"/>
      <c r="N13" s="168"/>
      <c r="O13" s="168"/>
      <c r="P13" s="168"/>
      <c r="S13" s="50"/>
    </row>
    <row r="14" spans="1:19" ht="12" customHeight="1" hidden="1">
      <c r="A14" s="318" t="s">
        <v>7</v>
      </c>
      <c r="B14" s="319" t="s">
        <v>3</v>
      </c>
      <c r="C14" s="320">
        <v>663</v>
      </c>
      <c r="D14" s="168"/>
      <c r="E14" s="168"/>
      <c r="F14" s="168"/>
      <c r="G14" s="168"/>
      <c r="H14" s="168"/>
      <c r="I14" s="321"/>
      <c r="J14" s="168"/>
      <c r="K14" s="168"/>
      <c r="L14" s="168"/>
      <c r="M14" s="168"/>
      <c r="N14" s="168"/>
      <c r="O14" s="168"/>
      <c r="P14" s="168"/>
      <c r="R14" s="39"/>
      <c r="S14" s="279"/>
    </row>
    <row r="15" spans="1:22" ht="15.75" customHeight="1" thickBot="1">
      <c r="A15" s="322"/>
      <c r="B15" s="323"/>
      <c r="C15" s="324"/>
      <c r="D15" s="168"/>
      <c r="E15" s="168"/>
      <c r="F15" s="325"/>
      <c r="G15" s="325"/>
      <c r="H15" s="325"/>
      <c r="I15" s="326"/>
      <c r="J15" s="389"/>
      <c r="K15" s="389"/>
      <c r="L15" s="389"/>
      <c r="M15" s="389"/>
      <c r="N15" s="389"/>
      <c r="O15" s="389"/>
      <c r="P15" s="389"/>
      <c r="Q15" s="375"/>
      <c r="R15" s="375"/>
      <c r="S15" s="390"/>
      <c r="T15" s="375"/>
      <c r="U15" s="375"/>
      <c r="V15" s="375"/>
    </row>
    <row r="16" spans="1:22" ht="100.5" customHeight="1" thickBot="1">
      <c r="A16" s="300" t="s">
        <v>0</v>
      </c>
      <c r="B16" s="301" t="s">
        <v>1</v>
      </c>
      <c r="C16" s="263" t="s">
        <v>24</v>
      </c>
      <c r="D16" s="263" t="s">
        <v>25</v>
      </c>
      <c r="E16" s="327" t="s">
        <v>41</v>
      </c>
      <c r="F16" s="263" t="s">
        <v>22</v>
      </c>
      <c r="G16" s="297" t="s">
        <v>38</v>
      </c>
      <c r="H16" s="297" t="s">
        <v>39</v>
      </c>
      <c r="I16" s="263" t="s">
        <v>23</v>
      </c>
      <c r="J16" s="395"/>
      <c r="K16" s="395"/>
      <c r="L16" s="395"/>
      <c r="M16" s="395"/>
      <c r="N16" s="395"/>
      <c r="O16" s="395"/>
      <c r="P16" s="395"/>
      <c r="Q16" s="217"/>
      <c r="R16" s="375"/>
      <c r="S16" s="375"/>
      <c r="T16" s="375"/>
      <c r="U16" s="375"/>
      <c r="V16" s="375"/>
    </row>
    <row r="17" spans="1:22" ht="16.5" customHeight="1" thickBot="1">
      <c r="A17" s="328">
        <v>1</v>
      </c>
      <c r="B17" s="329">
        <v>2</v>
      </c>
      <c r="C17" s="297">
        <v>3</v>
      </c>
      <c r="D17" s="297">
        <v>4</v>
      </c>
      <c r="E17" s="297">
        <v>5</v>
      </c>
      <c r="F17" s="297">
        <v>6</v>
      </c>
      <c r="G17" s="297">
        <v>7</v>
      </c>
      <c r="H17" s="297">
        <v>8</v>
      </c>
      <c r="I17" s="297">
        <v>9</v>
      </c>
      <c r="J17" s="597" t="s">
        <v>121</v>
      </c>
      <c r="K17" s="403"/>
      <c r="L17" s="220"/>
      <c r="M17" s="591" t="s">
        <v>123</v>
      </c>
      <c r="N17" s="394"/>
      <c r="O17" s="394"/>
      <c r="P17" s="394"/>
      <c r="Q17" s="217"/>
      <c r="R17" s="375"/>
      <c r="S17" s="375"/>
      <c r="T17" s="375"/>
      <c r="U17" s="375"/>
      <c r="V17" s="375"/>
    </row>
    <row r="18" spans="1:24" s="108" customFormat="1" ht="19.5" customHeight="1">
      <c r="A18" s="330" t="s">
        <v>33</v>
      </c>
      <c r="B18" s="304" t="s">
        <v>9</v>
      </c>
      <c r="C18" s="260">
        <f aca="true" t="shared" si="1" ref="C18:I18">SUM(C19:C24)</f>
        <v>239768</v>
      </c>
      <c r="D18" s="260">
        <f t="shared" si="1"/>
        <v>89722</v>
      </c>
      <c r="E18" s="260">
        <f t="shared" si="1"/>
        <v>14351</v>
      </c>
      <c r="F18" s="260">
        <f t="shared" si="1"/>
        <v>64500</v>
      </c>
      <c r="G18" s="260">
        <f t="shared" si="1"/>
        <v>50364</v>
      </c>
      <c r="H18" s="260">
        <f t="shared" si="1"/>
        <v>20831</v>
      </c>
      <c r="I18" s="260">
        <f t="shared" si="1"/>
        <v>39500</v>
      </c>
      <c r="J18" s="597"/>
      <c r="K18" s="403"/>
      <c r="L18" s="107">
        <f>27500+12000</f>
        <v>39500</v>
      </c>
      <c r="M18" s="591"/>
      <c r="N18" s="401"/>
      <c r="O18" s="394"/>
      <c r="P18" s="394"/>
      <c r="Q18" s="396"/>
      <c r="R18" s="391"/>
      <c r="S18" s="392"/>
      <c r="T18" s="377"/>
      <c r="U18" s="377"/>
      <c r="V18" s="377"/>
      <c r="W18" s="111"/>
      <c r="X18" s="111"/>
    </row>
    <row r="19" spans="1:24" s="114" customFormat="1" ht="21" customHeight="1">
      <c r="A19" s="307" t="s">
        <v>4</v>
      </c>
      <c r="B19" s="148" t="s">
        <v>9</v>
      </c>
      <c r="C19" s="112">
        <f>SUM(D19:H19)</f>
        <v>62751</v>
      </c>
      <c r="D19" s="112">
        <v>29716</v>
      </c>
      <c r="E19" s="112">
        <v>3424</v>
      </c>
      <c r="F19" s="112">
        <v>15388</v>
      </c>
      <c r="G19" s="112">
        <f>5315+969</f>
        <v>6284</v>
      </c>
      <c r="H19" s="112">
        <v>7939</v>
      </c>
      <c r="I19" s="112">
        <v>13689.615535451067</v>
      </c>
      <c r="J19" s="107">
        <f>C19+I19-M19</f>
        <v>-11938.38446454893</v>
      </c>
      <c r="K19" s="163">
        <f>+J19/J22</f>
        <v>0.3465725452012927</v>
      </c>
      <c r="L19" s="408">
        <f>+L18*K19</f>
        <v>13689.615535451063</v>
      </c>
      <c r="M19" s="386">
        <v>88379</v>
      </c>
      <c r="N19" s="402"/>
      <c r="O19" s="413" t="e">
        <f>+I19-#REF!</f>
        <v>#REF!</v>
      </c>
      <c r="P19" s="397"/>
      <c r="Q19" s="396"/>
      <c r="R19" s="409"/>
      <c r="S19" s="79"/>
      <c r="T19" s="385"/>
      <c r="U19" s="385"/>
      <c r="V19" s="393"/>
      <c r="W19" s="113"/>
      <c r="X19" s="113"/>
    </row>
    <row r="20" spans="1:24" s="114" customFormat="1" ht="21" customHeight="1">
      <c r="A20" s="307" t="s">
        <v>10</v>
      </c>
      <c r="B20" s="148" t="s">
        <v>9</v>
      </c>
      <c r="C20" s="112">
        <f>SUM(D20:H20)</f>
        <v>55257</v>
      </c>
      <c r="D20" s="112">
        <v>9923</v>
      </c>
      <c r="E20" s="112">
        <v>1094</v>
      </c>
      <c r="F20" s="112">
        <v>4917</v>
      </c>
      <c r="G20" s="112">
        <v>35444</v>
      </c>
      <c r="H20" s="112">
        <v>3879</v>
      </c>
      <c r="I20" s="112">
        <v>16932.005355186822</v>
      </c>
      <c r="J20" s="107">
        <f>C20+I20-M20</f>
        <v>-14765.994644813181</v>
      </c>
      <c r="K20" s="163">
        <f>+J20/J22</f>
        <v>0.42865836342245134</v>
      </c>
      <c r="L20" s="408">
        <f>+L18*K20</f>
        <v>16932.00535518683</v>
      </c>
      <c r="M20" s="386">
        <v>86955</v>
      </c>
      <c r="N20" s="402"/>
      <c r="O20" s="413" t="e">
        <f>+I20-#REF!</f>
        <v>#REF!</v>
      </c>
      <c r="P20" s="397"/>
      <c r="Q20" s="396"/>
      <c r="R20" s="409"/>
      <c r="S20" s="79"/>
      <c r="T20" s="385"/>
      <c r="U20" s="385"/>
      <c r="V20" s="393"/>
      <c r="W20" s="113"/>
      <c r="X20" s="113"/>
    </row>
    <row r="21" spans="1:24" s="114" customFormat="1" ht="21" customHeight="1">
      <c r="A21" s="307" t="s">
        <v>5</v>
      </c>
      <c r="B21" s="148" t="s">
        <v>9</v>
      </c>
      <c r="C21" s="112">
        <f>SUM(D21:H21)</f>
        <v>103415</v>
      </c>
      <c r="D21" s="112">
        <v>39480</v>
      </c>
      <c r="E21" s="112">
        <v>8424</v>
      </c>
      <c r="F21" s="112">
        <v>37862</v>
      </c>
      <c r="G21" s="112">
        <f>7500+1136</f>
        <v>8636</v>
      </c>
      <c r="H21" s="112">
        <v>9013</v>
      </c>
      <c r="I21" s="112">
        <v>8878.379109362111</v>
      </c>
      <c r="J21" s="107">
        <f>C21+I21-M21</f>
        <v>-7742.620890637889</v>
      </c>
      <c r="K21" s="163">
        <f>+J21/J22</f>
        <v>0.22476909137625595</v>
      </c>
      <c r="L21" s="408">
        <f>+L18*K21</f>
        <v>8878.37910936211</v>
      </c>
      <c r="M21" s="386">
        <v>120036</v>
      </c>
      <c r="N21" s="402"/>
      <c r="O21" s="413" t="e">
        <f>+I21-#REF!</f>
        <v>#REF!</v>
      </c>
      <c r="P21" s="397"/>
      <c r="Q21" s="396"/>
      <c r="R21" s="409"/>
      <c r="S21" s="79"/>
      <c r="T21" s="385"/>
      <c r="U21" s="385"/>
      <c r="V21" s="393"/>
      <c r="W21" s="113"/>
      <c r="X21" s="113"/>
    </row>
    <row r="22" spans="1:24" s="108" customFormat="1" ht="16.5" customHeight="1">
      <c r="A22" s="312" t="s">
        <v>120</v>
      </c>
      <c r="B22" s="148" t="s">
        <v>9</v>
      </c>
      <c r="C22" s="120">
        <f>ROUND(C11*3,0)</f>
        <v>18345</v>
      </c>
      <c r="D22" s="112">
        <v>10603</v>
      </c>
      <c r="E22" s="112">
        <v>1409</v>
      </c>
      <c r="F22" s="112">
        <v>6333</v>
      </c>
      <c r="G22" s="112"/>
      <c r="H22" s="112"/>
      <c r="I22" s="112"/>
      <c r="J22" s="107">
        <f>SUM(J19:J21)</f>
        <v>-34447</v>
      </c>
      <c r="K22" s="163"/>
      <c r="L22" s="107"/>
      <c r="M22" s="107"/>
      <c r="N22" s="163"/>
      <c r="O22" s="107" t="e">
        <f>SUM(O19:O21)</f>
        <v>#REF!</v>
      </c>
      <c r="P22" s="107"/>
      <c r="Q22" s="396"/>
      <c r="R22" s="410"/>
      <c r="S22" s="373"/>
      <c r="T22" s="376"/>
      <c r="U22" s="377"/>
      <c r="V22" s="377"/>
      <c r="W22" s="111"/>
      <c r="X22" s="111"/>
    </row>
    <row r="23" spans="1:24" s="108" customFormat="1" ht="21" customHeight="1">
      <c r="A23" s="334" t="s">
        <v>65</v>
      </c>
      <c r="B23" s="148" t="s">
        <v>9</v>
      </c>
      <c r="C23" s="120"/>
      <c r="D23" s="112"/>
      <c r="E23" s="120"/>
      <c r="F23" s="120"/>
      <c r="G23" s="120"/>
      <c r="H23" s="120"/>
      <c r="I23" s="120"/>
      <c r="J23" s="332"/>
      <c r="K23" s="332"/>
      <c r="L23" s="332"/>
      <c r="M23" s="398"/>
      <c r="N23" s="398"/>
      <c r="O23" s="398"/>
      <c r="P23" s="398"/>
      <c r="Q23" s="107"/>
      <c r="R23" s="387"/>
      <c r="S23" s="386"/>
      <c r="T23" s="377"/>
      <c r="U23" s="377"/>
      <c r="V23" s="377"/>
      <c r="W23" s="111"/>
      <c r="X23" s="111"/>
    </row>
    <row r="24" spans="1:24" s="108" customFormat="1" ht="21" customHeight="1" thickBot="1">
      <c r="A24" s="336" t="s">
        <v>66</v>
      </c>
      <c r="B24" s="337" t="s">
        <v>9</v>
      </c>
      <c r="C24" s="123"/>
      <c r="D24" s="124"/>
      <c r="E24" s="123"/>
      <c r="F24" s="123"/>
      <c r="G24" s="123"/>
      <c r="H24" s="123"/>
      <c r="I24" s="123"/>
      <c r="J24" s="332"/>
      <c r="K24" s="332"/>
      <c r="L24" s="332"/>
      <c r="M24" s="398"/>
      <c r="N24" s="398"/>
      <c r="O24" s="398"/>
      <c r="P24" s="398"/>
      <c r="Q24" s="126"/>
      <c r="R24" s="378"/>
      <c r="S24" s="378"/>
      <c r="T24" s="376"/>
      <c r="U24" s="377"/>
      <c r="V24" s="377"/>
      <c r="W24" s="111"/>
      <c r="X24" s="111"/>
    </row>
    <row r="25" spans="1:22" ht="14.25" customHeight="1" thickBot="1">
      <c r="A25" s="338"/>
      <c r="B25" s="182"/>
      <c r="C25" s="261"/>
      <c r="D25" s="168"/>
      <c r="E25" s="168"/>
      <c r="F25" s="262"/>
      <c r="G25" s="168"/>
      <c r="H25" s="168"/>
      <c r="I25" s="170"/>
      <c r="J25" s="309"/>
      <c r="K25" s="309"/>
      <c r="L25" s="339"/>
      <c r="M25" s="399"/>
      <c r="N25" s="399"/>
      <c r="O25" s="399"/>
      <c r="P25" s="399"/>
      <c r="Q25" s="217"/>
      <c r="R25" s="375"/>
      <c r="S25" s="375"/>
      <c r="T25" s="375"/>
      <c r="U25" s="375"/>
      <c r="V25" s="375"/>
    </row>
    <row r="26" spans="1:21" ht="44.25" customHeight="1">
      <c r="A26" s="600" t="s">
        <v>0</v>
      </c>
      <c r="B26" s="602" t="s">
        <v>1</v>
      </c>
      <c r="C26" s="593" t="s">
        <v>45</v>
      </c>
      <c r="D26" s="593" t="s">
        <v>67</v>
      </c>
      <c r="E26" s="593" t="s">
        <v>26</v>
      </c>
      <c r="F26" s="593" t="s">
        <v>40</v>
      </c>
      <c r="G26" s="593" t="s">
        <v>27</v>
      </c>
      <c r="H26" s="593" t="s">
        <v>28</v>
      </c>
      <c r="I26" s="593" t="s">
        <v>37</v>
      </c>
      <c r="J26" s="576" t="s">
        <v>29</v>
      </c>
      <c r="K26" s="404"/>
      <c r="L26" s="379"/>
      <c r="M26" s="388"/>
      <c r="N26" s="388"/>
      <c r="O26" s="388"/>
      <c r="P26" s="388"/>
      <c r="Q26" s="375"/>
      <c r="R26" s="375"/>
      <c r="S26" s="375"/>
      <c r="T26" s="375"/>
      <c r="U26" s="375"/>
    </row>
    <row r="27" spans="1:21" ht="87.75" customHeight="1" thickBot="1">
      <c r="A27" s="601"/>
      <c r="B27" s="603"/>
      <c r="C27" s="594"/>
      <c r="D27" s="594"/>
      <c r="E27" s="594"/>
      <c r="F27" s="594"/>
      <c r="G27" s="594"/>
      <c r="H27" s="594"/>
      <c r="I27" s="594"/>
      <c r="J27" s="577"/>
      <c r="K27" s="404"/>
      <c r="L27" s="379"/>
      <c r="M27" s="379"/>
      <c r="N27" s="379"/>
      <c r="O27" s="379"/>
      <c r="P27" s="379"/>
      <c r="Q27" s="375"/>
      <c r="R27" s="375"/>
      <c r="S27" s="375"/>
      <c r="T27" s="375"/>
      <c r="U27" s="375"/>
    </row>
    <row r="28" spans="1:16" ht="16.5" customHeight="1" thickBot="1">
      <c r="A28" s="340">
        <v>1</v>
      </c>
      <c r="B28" s="301">
        <v>2</v>
      </c>
      <c r="C28" s="263">
        <v>3</v>
      </c>
      <c r="D28" s="263">
        <v>4</v>
      </c>
      <c r="E28" s="263">
        <v>5</v>
      </c>
      <c r="F28" s="263">
        <v>6</v>
      </c>
      <c r="G28" s="263">
        <v>7</v>
      </c>
      <c r="H28" s="263">
        <v>8</v>
      </c>
      <c r="I28" s="263">
        <v>9</v>
      </c>
      <c r="J28" s="263">
        <v>9</v>
      </c>
      <c r="K28" s="405"/>
      <c r="L28" s="168"/>
      <c r="M28" s="168"/>
      <c r="N28" s="168"/>
      <c r="O28" s="168"/>
      <c r="P28" s="168"/>
    </row>
    <row r="29" spans="1:16" ht="16.5" customHeight="1">
      <c r="A29" s="341" t="s">
        <v>34</v>
      </c>
      <c r="B29" s="342"/>
      <c r="C29" s="264"/>
      <c r="D29" s="264"/>
      <c r="E29" s="264"/>
      <c r="F29" s="264"/>
      <c r="G29" s="264"/>
      <c r="H29" s="264"/>
      <c r="I29" s="264"/>
      <c r="J29" s="264"/>
      <c r="K29" s="405"/>
      <c r="L29" s="168"/>
      <c r="M29" s="343"/>
      <c r="N29" s="343"/>
      <c r="O29" s="343"/>
      <c r="P29" s="343"/>
    </row>
    <row r="30" spans="1:24" s="6" customFormat="1" ht="12" customHeight="1">
      <c r="A30" s="344" t="s">
        <v>35</v>
      </c>
      <c r="B30" s="345" t="s">
        <v>11</v>
      </c>
      <c r="C30" s="33">
        <f>D30+J30</f>
        <v>5.141363274697205</v>
      </c>
      <c r="D30" s="81">
        <f>E30+F30+G30+H30+I30</f>
        <v>4.22</v>
      </c>
      <c r="E30" s="81">
        <f>ROUND(D19/C8,2)</f>
        <v>2</v>
      </c>
      <c r="F30" s="81">
        <f>ROUND(E19/C8,2)</f>
        <v>0.23</v>
      </c>
      <c r="G30" s="81">
        <f>ROUND(F19/C8,2)</f>
        <v>1.04</v>
      </c>
      <c r="H30" s="81">
        <f>ROUND(G19/C8,2)</f>
        <v>0.42</v>
      </c>
      <c r="I30" s="81">
        <f>ROUND(H19/C8,2)</f>
        <v>0.53</v>
      </c>
      <c r="J30" s="81">
        <f>I19/C8</f>
        <v>0.9213632746972047</v>
      </c>
      <c r="K30" s="406" t="e">
        <f>+C30-#REF!</f>
        <v>#REF!</v>
      </c>
      <c r="L30" s="346"/>
      <c r="M30" s="346"/>
      <c r="N30" s="346"/>
      <c r="O30" s="346"/>
      <c r="P30" s="346"/>
      <c r="Q30" s="89"/>
      <c r="R30" s="90"/>
      <c r="S30" s="35"/>
      <c r="T30" s="35"/>
      <c r="U30" s="88"/>
      <c r="V30" s="35"/>
      <c r="W30" s="35"/>
      <c r="X30" s="35"/>
    </row>
    <row r="31" spans="1:24" s="6" customFormat="1" ht="12" customHeight="1">
      <c r="A31" s="347" t="s">
        <v>36</v>
      </c>
      <c r="B31" s="319" t="s">
        <v>11</v>
      </c>
      <c r="C31" s="33">
        <f>D31+J31</f>
        <v>15.216134236559988</v>
      </c>
      <c r="D31" s="81">
        <f>E31+F31+G31+H31+I31</f>
        <v>11.65</v>
      </c>
      <c r="E31" s="81">
        <f>ROUND(D20/C9,2)</f>
        <v>2.09</v>
      </c>
      <c r="F31" s="81">
        <f>ROUND(E20/C9,2)</f>
        <v>0.23</v>
      </c>
      <c r="G31" s="81">
        <f>ROUND(F20/C9,2)</f>
        <v>1.04</v>
      </c>
      <c r="H31" s="81">
        <f>ROUND(G20/C9,2)</f>
        <v>7.47</v>
      </c>
      <c r="I31" s="81">
        <f>ROUND(H20/C9,2)</f>
        <v>0.82</v>
      </c>
      <c r="J31" s="81">
        <f>I20/C9</f>
        <v>3.566134236559988</v>
      </c>
      <c r="K31" s="406" t="e">
        <f>+C31-#REF!</f>
        <v>#REF!</v>
      </c>
      <c r="L31" s="346"/>
      <c r="M31" s="339"/>
      <c r="N31" s="339"/>
      <c r="O31" s="339"/>
      <c r="P31" s="339"/>
      <c r="Q31" s="89"/>
      <c r="R31" s="35"/>
      <c r="S31" s="35"/>
      <c r="T31" s="35"/>
      <c r="U31" s="90"/>
      <c r="V31" s="35"/>
      <c r="W31" s="35"/>
      <c r="X31" s="35"/>
    </row>
    <row r="32" spans="1:24" s="6" customFormat="1" ht="12" customHeight="1">
      <c r="A32" s="347" t="str">
        <f>A21</f>
        <v>"Столичен автотранспорт" ЕАД</v>
      </c>
      <c r="B32" s="319" t="s">
        <v>11</v>
      </c>
      <c r="C32" s="33">
        <f>D32+J32</f>
        <v>3.0828706398227954</v>
      </c>
      <c r="D32" s="81">
        <f>E32+F32+G32+H32+I32</f>
        <v>2.84</v>
      </c>
      <c r="E32" s="81">
        <f>ROUND(D21/C10,2)</f>
        <v>1.08</v>
      </c>
      <c r="F32" s="81">
        <f>ROUND(E21/C10,2)</f>
        <v>0.23</v>
      </c>
      <c r="G32" s="81">
        <f>ROUND(F21/C10,2)</f>
        <v>1.04</v>
      </c>
      <c r="H32" s="81">
        <f>ROUND(G21/C10,2)</f>
        <v>0.24</v>
      </c>
      <c r="I32" s="81">
        <f>ROUND(H21/C10,2)</f>
        <v>0.25</v>
      </c>
      <c r="J32" s="81">
        <f>I21/C10</f>
        <v>0.24287063982279547</v>
      </c>
      <c r="K32" s="406" t="e">
        <f>+C32-#REF!</f>
        <v>#REF!</v>
      </c>
      <c r="L32" s="346"/>
      <c r="M32" s="339"/>
      <c r="N32" s="339"/>
      <c r="O32" s="339"/>
      <c r="P32" s="339"/>
      <c r="Q32" s="89"/>
      <c r="R32" s="35"/>
      <c r="S32" s="35"/>
      <c r="T32" s="35"/>
      <c r="U32" s="90"/>
      <c r="V32" s="35"/>
      <c r="W32" s="35"/>
      <c r="X32" s="35"/>
    </row>
    <row r="33" spans="1:24" s="6" customFormat="1" ht="12" customHeight="1">
      <c r="A33" s="347" t="str">
        <f>A22</f>
        <v>"MTK Гроуп" ООД</v>
      </c>
      <c r="B33" s="319" t="s">
        <v>11</v>
      </c>
      <c r="C33" s="33">
        <v>3</v>
      </c>
      <c r="D33" s="81">
        <v>3</v>
      </c>
      <c r="E33" s="81">
        <f>ROUND(D22/C11,2)</f>
        <v>1.73</v>
      </c>
      <c r="F33" s="81">
        <f>ROUND(E22/C11,2)</f>
        <v>0.23</v>
      </c>
      <c r="G33" s="81">
        <f>ROUND(F22/C11,2)</f>
        <v>1.04</v>
      </c>
      <c r="H33" s="265"/>
      <c r="I33" s="33"/>
      <c r="J33" s="33"/>
      <c r="K33" s="407"/>
      <c r="L33" s="309"/>
      <c r="M33" s="309"/>
      <c r="N33" s="309"/>
      <c r="O33" s="309"/>
      <c r="P33" s="309"/>
      <c r="Q33" s="89"/>
      <c r="R33" s="35"/>
      <c r="S33" s="35"/>
      <c r="T33" s="35"/>
      <c r="U33" s="35"/>
      <c r="V33" s="35"/>
      <c r="W33" s="35"/>
      <c r="X33" s="35"/>
    </row>
    <row r="34" spans="1:17" ht="12" customHeight="1">
      <c r="A34" s="344" t="s">
        <v>65</v>
      </c>
      <c r="B34" s="345" t="s">
        <v>11</v>
      </c>
      <c r="C34" s="266"/>
      <c r="D34" s="266"/>
      <c r="E34" s="81"/>
      <c r="F34" s="81"/>
      <c r="G34" s="81"/>
      <c r="H34" s="267"/>
      <c r="I34" s="348"/>
      <c r="J34" s="348"/>
      <c r="K34" s="407"/>
      <c r="L34" s="168"/>
      <c r="M34" s="168"/>
      <c r="N34" s="168"/>
      <c r="O34" s="168"/>
      <c r="P34" s="168"/>
      <c r="Q34" s="89"/>
    </row>
    <row r="35" spans="1:17" ht="12" customHeight="1" thickBot="1">
      <c r="A35" s="349" t="s">
        <v>6</v>
      </c>
      <c r="B35" s="193" t="s">
        <v>11</v>
      </c>
      <c r="C35" s="268"/>
      <c r="D35" s="82"/>
      <c r="E35" s="82"/>
      <c r="F35" s="82"/>
      <c r="G35" s="82"/>
      <c r="H35" s="269"/>
      <c r="I35" s="268"/>
      <c r="J35" s="268"/>
      <c r="K35" s="407"/>
      <c r="L35" s="168"/>
      <c r="M35" s="168"/>
      <c r="N35" s="168"/>
      <c r="O35" s="168"/>
      <c r="P35" s="168"/>
      <c r="Q35" s="89"/>
    </row>
    <row r="36" spans="1:16" ht="14.25" customHeight="1" thickBot="1">
      <c r="A36" s="350"/>
      <c r="B36" s="351"/>
      <c r="C36" s="270"/>
      <c r="D36" s="168"/>
      <c r="E36" s="168"/>
      <c r="F36" s="168"/>
      <c r="G36" s="168"/>
      <c r="H36" s="168"/>
      <c r="I36" s="168"/>
      <c r="J36" s="168"/>
      <c r="K36" s="168"/>
      <c r="L36" s="168"/>
      <c r="M36" s="168"/>
      <c r="N36" s="168"/>
      <c r="O36" s="168"/>
      <c r="P36" s="168"/>
    </row>
    <row r="37" spans="1:16" ht="19.5" customHeight="1">
      <c r="A37" s="352" t="s">
        <v>12</v>
      </c>
      <c r="B37" s="353" t="s">
        <v>9</v>
      </c>
      <c r="C37" s="271">
        <f>C38+C40+C43+C45</f>
        <v>239768</v>
      </c>
      <c r="D37" s="272"/>
      <c r="E37" s="168"/>
      <c r="F37" s="273"/>
      <c r="G37" s="168"/>
      <c r="H37" s="168"/>
      <c r="I37" s="168"/>
      <c r="J37" s="168"/>
      <c r="K37" s="168"/>
      <c r="L37" s="168"/>
      <c r="M37" s="168"/>
      <c r="N37" s="168"/>
      <c r="O37" s="168"/>
      <c r="P37" s="168"/>
    </row>
    <row r="38" spans="1:16" ht="16.5" customHeight="1">
      <c r="A38" s="307" t="s">
        <v>18</v>
      </c>
      <c r="B38" s="148" t="s">
        <v>9</v>
      </c>
      <c r="C38" s="120">
        <f>C39</f>
        <v>89722</v>
      </c>
      <c r="D38" s="380"/>
      <c r="E38" s="168"/>
      <c r="F38" s="168"/>
      <c r="G38" s="168"/>
      <c r="H38" s="168"/>
      <c r="I38" s="354"/>
      <c r="J38" s="168"/>
      <c r="K38" s="168"/>
      <c r="L38" s="168"/>
      <c r="M38" s="168"/>
      <c r="N38" s="168"/>
      <c r="O38" s="168"/>
      <c r="P38" s="168"/>
    </row>
    <row r="39" spans="1:16" ht="12.75" customHeight="1">
      <c r="A39" s="318" t="s">
        <v>136</v>
      </c>
      <c r="B39" s="319" t="s">
        <v>9</v>
      </c>
      <c r="C39" s="275">
        <v>89722</v>
      </c>
      <c r="D39" s="381"/>
      <c r="E39" s="168"/>
      <c r="F39" s="168"/>
      <c r="G39" s="168"/>
      <c r="H39" s="168"/>
      <c r="I39" s="354"/>
      <c r="J39" s="168"/>
      <c r="K39" s="168"/>
      <c r="L39" s="168"/>
      <c r="M39" s="168"/>
      <c r="N39" s="168"/>
      <c r="O39" s="168"/>
      <c r="P39" s="168"/>
    </row>
    <row r="40" spans="1:16" ht="12.75" customHeight="1">
      <c r="A40" s="355" t="s">
        <v>13</v>
      </c>
      <c r="B40" s="319" t="s">
        <v>9</v>
      </c>
      <c r="C40" s="356">
        <f>C41</f>
        <v>64500</v>
      </c>
      <c r="D40" s="382"/>
      <c r="E40" s="168"/>
      <c r="F40" s="168"/>
      <c r="G40" s="168"/>
      <c r="H40" s="168"/>
      <c r="I40" s="354"/>
      <c r="J40" s="168"/>
      <c r="K40" s="168"/>
      <c r="L40" s="168"/>
      <c r="M40" s="168"/>
      <c r="N40" s="168"/>
      <c r="O40" s="168"/>
      <c r="P40" s="168"/>
    </row>
    <row r="41" spans="1:16" ht="12" customHeight="1">
      <c r="A41" s="357" t="s">
        <v>31</v>
      </c>
      <c r="B41" s="319" t="s">
        <v>9</v>
      </c>
      <c r="C41" s="358">
        <v>64500</v>
      </c>
      <c r="D41" s="383"/>
      <c r="E41" s="168"/>
      <c r="F41" s="168"/>
      <c r="G41" s="168"/>
      <c r="H41" s="168"/>
      <c r="I41" s="354"/>
      <c r="J41" s="168"/>
      <c r="K41" s="168"/>
      <c r="L41" s="168"/>
      <c r="M41" s="168"/>
      <c r="N41" s="168"/>
      <c r="O41" s="168"/>
      <c r="P41" s="168"/>
    </row>
    <row r="42" spans="1:16" ht="12" customHeight="1" hidden="1">
      <c r="A42" s="357" t="s">
        <v>14</v>
      </c>
      <c r="B42" s="319" t="s">
        <v>9</v>
      </c>
      <c r="C42" s="358"/>
      <c r="D42" s="383"/>
      <c r="E42" s="168"/>
      <c r="F42" s="168"/>
      <c r="G42" s="168"/>
      <c r="H42" s="168"/>
      <c r="I42" s="354"/>
      <c r="J42" s="168"/>
      <c r="K42" s="168"/>
      <c r="L42" s="168"/>
      <c r="M42" s="168"/>
      <c r="N42" s="168"/>
      <c r="O42" s="168"/>
      <c r="P42" s="168"/>
    </row>
    <row r="43" spans="1:16" ht="13.5" customHeight="1">
      <c r="A43" s="355" t="s">
        <v>15</v>
      </c>
      <c r="B43" s="319" t="s">
        <v>9</v>
      </c>
      <c r="C43" s="356">
        <f>C44</f>
        <v>14351</v>
      </c>
      <c r="D43" s="382"/>
      <c r="E43" s="168"/>
      <c r="F43" s="168"/>
      <c r="G43" s="168"/>
      <c r="H43" s="168"/>
      <c r="I43" s="354"/>
      <c r="J43" s="168"/>
      <c r="K43" s="168"/>
      <c r="L43" s="168"/>
      <c r="M43" s="168"/>
      <c r="N43" s="168"/>
      <c r="O43" s="168"/>
      <c r="P43" s="168"/>
    </row>
    <row r="44" spans="1:16" ht="12" customHeight="1">
      <c r="A44" s="318" t="s">
        <v>42</v>
      </c>
      <c r="B44" s="319" t="s">
        <v>9</v>
      </c>
      <c r="C44" s="275">
        <v>14351</v>
      </c>
      <c r="D44" s="381"/>
      <c r="E44" s="168"/>
      <c r="F44" s="360"/>
      <c r="G44" s="168"/>
      <c r="H44" s="168"/>
      <c r="I44" s="354"/>
      <c r="J44" s="168"/>
      <c r="K44" s="168"/>
      <c r="L44" s="168"/>
      <c r="M44" s="168"/>
      <c r="N44" s="168"/>
      <c r="O44" s="168"/>
      <c r="P44" s="168"/>
    </row>
    <row r="45" spans="1:16" ht="15" customHeight="1">
      <c r="A45" s="355" t="s">
        <v>16</v>
      </c>
      <c r="B45" s="319" t="s">
        <v>9</v>
      </c>
      <c r="C45" s="356">
        <f>C46+C47+C48</f>
        <v>71195</v>
      </c>
      <c r="D45" s="382"/>
      <c r="E45" s="168"/>
      <c r="F45" s="168"/>
      <c r="G45" s="168"/>
      <c r="H45" s="360"/>
      <c r="I45" s="354"/>
      <c r="J45" s="168"/>
      <c r="K45" s="168"/>
      <c r="L45" s="168"/>
      <c r="M45" s="168"/>
      <c r="N45" s="168"/>
      <c r="O45" s="168"/>
      <c r="P45" s="168"/>
    </row>
    <row r="46" spans="1:24" s="6" customFormat="1" ht="12" customHeight="1">
      <c r="A46" s="361" t="s">
        <v>4</v>
      </c>
      <c r="B46" s="319" t="s">
        <v>9</v>
      </c>
      <c r="C46" s="275">
        <f>+G19+H19</f>
        <v>14223</v>
      </c>
      <c r="D46" s="381"/>
      <c r="E46" s="309"/>
      <c r="F46" s="187"/>
      <c r="G46" s="309"/>
      <c r="H46" s="309"/>
      <c r="I46" s="309"/>
      <c r="J46" s="309"/>
      <c r="K46" s="309"/>
      <c r="L46" s="309"/>
      <c r="M46" s="309"/>
      <c r="N46" s="309"/>
      <c r="O46" s="309"/>
      <c r="P46" s="309"/>
      <c r="Q46" s="35"/>
      <c r="R46" s="35"/>
      <c r="S46" s="35"/>
      <c r="T46" s="35"/>
      <c r="U46" s="35"/>
      <c r="V46" s="35"/>
      <c r="W46" s="35"/>
      <c r="X46" s="35"/>
    </row>
    <row r="47" spans="1:24" s="6" customFormat="1" ht="12" customHeight="1">
      <c r="A47" s="361" t="s">
        <v>5</v>
      </c>
      <c r="B47" s="319" t="s">
        <v>9</v>
      </c>
      <c r="C47" s="275">
        <f>+G21+H21</f>
        <v>17649</v>
      </c>
      <c r="D47" s="183"/>
      <c r="E47" s="309"/>
      <c r="F47" s="362"/>
      <c r="G47" s="309"/>
      <c r="H47" s="309"/>
      <c r="I47" s="309"/>
      <c r="J47" s="309"/>
      <c r="K47" s="309"/>
      <c r="L47" s="309"/>
      <c r="M47" s="309"/>
      <c r="N47" s="309"/>
      <c r="O47" s="309"/>
      <c r="P47" s="309"/>
      <c r="Q47" s="35"/>
      <c r="R47" s="35"/>
      <c r="S47" s="35"/>
      <c r="T47" s="35"/>
      <c r="U47" s="35"/>
      <c r="V47" s="35"/>
      <c r="W47" s="35"/>
      <c r="X47" s="35"/>
    </row>
    <row r="48" spans="1:24" s="6" customFormat="1" ht="12" customHeight="1" thickBot="1">
      <c r="A48" s="363" t="s">
        <v>10</v>
      </c>
      <c r="B48" s="193" t="s">
        <v>9</v>
      </c>
      <c r="C48" s="364">
        <f>+G20+H20</f>
        <v>39323</v>
      </c>
      <c r="D48" s="183"/>
      <c r="E48" s="309"/>
      <c r="F48" s="309"/>
      <c r="G48" s="188"/>
      <c r="H48" s="365"/>
      <c r="I48" s="309"/>
      <c r="J48" s="309"/>
      <c r="K48" s="309"/>
      <c r="L48" s="309"/>
      <c r="M48" s="309"/>
      <c r="N48" s="309"/>
      <c r="O48" s="309"/>
      <c r="P48" s="309"/>
      <c r="Q48" s="35"/>
      <c r="R48" s="35"/>
      <c r="S48" s="35"/>
      <c r="T48" s="35"/>
      <c r="U48" s="35"/>
      <c r="V48" s="35"/>
      <c r="W48" s="35"/>
      <c r="X48" s="35"/>
    </row>
    <row r="49" spans="1:24" s="6" customFormat="1" ht="12" customHeight="1">
      <c r="A49" s="351"/>
      <c r="B49" s="182"/>
      <c r="C49" s="183"/>
      <c r="D49" s="183"/>
      <c r="E49" s="309"/>
      <c r="F49" s="309"/>
      <c r="G49" s="188"/>
      <c r="H49" s="365"/>
      <c r="I49" s="309"/>
      <c r="J49" s="309"/>
      <c r="K49" s="309"/>
      <c r="L49" s="309"/>
      <c r="M49" s="309"/>
      <c r="N49" s="309"/>
      <c r="O49" s="309"/>
      <c r="P49" s="309"/>
      <c r="Q49" s="35"/>
      <c r="R49" s="35"/>
      <c r="S49" s="35"/>
      <c r="T49" s="35"/>
      <c r="U49" s="35"/>
      <c r="V49" s="35"/>
      <c r="W49" s="35"/>
      <c r="X49" s="35"/>
    </row>
    <row r="50" spans="1:24" s="6" customFormat="1" ht="27.75" customHeight="1" hidden="1">
      <c r="A50" s="165" t="s">
        <v>124</v>
      </c>
      <c r="B50" s="166"/>
      <c r="C50" s="167"/>
      <c r="D50" s="183"/>
      <c r="E50" s="309"/>
      <c r="F50" s="309"/>
      <c r="G50" s="188"/>
      <c r="H50" s="365"/>
      <c r="I50" s="309"/>
      <c r="J50" s="309"/>
      <c r="K50" s="309"/>
      <c r="L50" s="309"/>
      <c r="M50" s="309"/>
      <c r="N50" s="309"/>
      <c r="O50" s="309"/>
      <c r="P50" s="309"/>
      <c r="Q50" s="35"/>
      <c r="R50" s="35"/>
      <c r="S50" s="35"/>
      <c r="T50" s="35"/>
      <c r="U50" s="35"/>
      <c r="V50" s="35"/>
      <c r="W50" s="35"/>
      <c r="X50" s="35"/>
    </row>
    <row r="51" spans="1:24" s="6" customFormat="1" ht="28.5" customHeight="1" hidden="1">
      <c r="A51" s="147" t="s">
        <v>55</v>
      </c>
      <c r="B51" s="171" t="s">
        <v>9</v>
      </c>
      <c r="C51" s="172">
        <f>54056-C52-C53</f>
        <v>36056</v>
      </c>
      <c r="D51" s="183"/>
      <c r="E51" s="367"/>
      <c r="F51" s="309"/>
      <c r="G51" s="188"/>
      <c r="H51" s="365"/>
      <c r="I51" s="309"/>
      <c r="J51" s="309"/>
      <c r="K51" s="309"/>
      <c r="L51" s="309"/>
      <c r="M51" s="309"/>
      <c r="N51" s="309"/>
      <c r="O51" s="309"/>
      <c r="P51" s="309"/>
      <c r="Q51" s="35"/>
      <c r="R51" s="35"/>
      <c r="S51" s="35"/>
      <c r="T51" s="35"/>
      <c r="U51" s="35"/>
      <c r="V51" s="35"/>
      <c r="W51" s="35"/>
      <c r="X51" s="35"/>
    </row>
    <row r="52" spans="1:24" s="6" customFormat="1" ht="28.5" customHeight="1" hidden="1">
      <c r="A52" s="147" t="s">
        <v>56</v>
      </c>
      <c r="B52" s="148" t="s">
        <v>9</v>
      </c>
      <c r="C52" s="116">
        <v>13000</v>
      </c>
      <c r="D52" s="366"/>
      <c r="E52" s="367"/>
      <c r="F52" s="309"/>
      <c r="G52" s="188"/>
      <c r="H52" s="365"/>
      <c r="I52" s="309"/>
      <c r="J52" s="309"/>
      <c r="K52" s="309"/>
      <c r="L52" s="309"/>
      <c r="M52" s="309"/>
      <c r="N52" s="309"/>
      <c r="O52" s="309"/>
      <c r="P52" s="309"/>
      <c r="Q52" s="35"/>
      <c r="R52" s="35"/>
      <c r="S52" s="35"/>
      <c r="T52" s="35"/>
      <c r="U52" s="35"/>
      <c r="V52" s="35"/>
      <c r="W52" s="35"/>
      <c r="X52" s="35"/>
    </row>
    <row r="53" spans="1:24" s="6" customFormat="1" ht="15" hidden="1">
      <c r="A53" s="147" t="s">
        <v>126</v>
      </c>
      <c r="B53" s="148" t="s">
        <v>9</v>
      </c>
      <c r="C53" s="116">
        <f>5000</f>
        <v>5000</v>
      </c>
      <c r="D53" s="366"/>
      <c r="E53" s="367"/>
      <c r="F53" s="309"/>
      <c r="G53" s="188"/>
      <c r="H53" s="365"/>
      <c r="I53" s="309"/>
      <c r="J53" s="309"/>
      <c r="K53" s="309"/>
      <c r="L53" s="309"/>
      <c r="M53" s="309"/>
      <c r="N53" s="309"/>
      <c r="O53" s="309"/>
      <c r="P53" s="309"/>
      <c r="Q53" s="35"/>
      <c r="R53" s="35"/>
      <c r="S53" s="35"/>
      <c r="T53" s="35"/>
      <c r="U53" s="35"/>
      <c r="V53" s="35"/>
      <c r="W53" s="35"/>
      <c r="X53" s="35"/>
    </row>
    <row r="54" spans="1:24" s="6" customFormat="1" ht="28.5" customHeight="1" hidden="1">
      <c r="A54" s="175" t="s">
        <v>141</v>
      </c>
      <c r="B54" s="148" t="s">
        <v>9</v>
      </c>
      <c r="C54" s="176">
        <v>17110</v>
      </c>
      <c r="D54" s="183"/>
      <c r="E54" s="368"/>
      <c r="F54" s="309"/>
      <c r="G54" s="188"/>
      <c r="H54" s="365"/>
      <c r="I54" s="309"/>
      <c r="J54" s="309"/>
      <c r="K54" s="309"/>
      <c r="L54" s="309"/>
      <c r="M54" s="309"/>
      <c r="N54" s="309"/>
      <c r="O54" s="309"/>
      <c r="P54" s="309"/>
      <c r="Q54" s="35"/>
      <c r="R54" s="35"/>
      <c r="S54" s="35"/>
      <c r="T54" s="35"/>
      <c r="U54" s="35"/>
      <c r="V54" s="35"/>
      <c r="W54" s="35"/>
      <c r="X54" s="35"/>
    </row>
    <row r="55" spans="1:24" s="6" customFormat="1" ht="28.5" customHeight="1" hidden="1">
      <c r="A55" s="175" t="s">
        <v>44</v>
      </c>
      <c r="B55" s="148" t="s">
        <v>9</v>
      </c>
      <c r="C55" s="176">
        <v>2200</v>
      </c>
      <c r="D55" s="384"/>
      <c r="E55" s="367"/>
      <c r="F55" s="309"/>
      <c r="G55" s="188"/>
      <c r="H55" s="365"/>
      <c r="I55" s="309"/>
      <c r="J55" s="309"/>
      <c r="K55" s="309"/>
      <c r="L55" s="309"/>
      <c r="M55" s="309"/>
      <c r="N55" s="309"/>
      <c r="O55" s="309"/>
      <c r="P55" s="309"/>
      <c r="Q55" s="35"/>
      <c r="R55" s="35"/>
      <c r="S55" s="35"/>
      <c r="T55" s="35"/>
      <c r="U55" s="35"/>
      <c r="V55" s="35"/>
      <c r="W55" s="35"/>
      <c r="X55" s="35"/>
    </row>
    <row r="56" spans="1:24" s="6" customFormat="1" ht="28.5" customHeight="1" hidden="1" thickBot="1">
      <c r="A56" s="178" t="s">
        <v>53</v>
      </c>
      <c r="B56" s="179"/>
      <c r="C56" s="180">
        <f>34832</f>
        <v>34832</v>
      </c>
      <c r="D56" s="366"/>
      <c r="E56" s="367"/>
      <c r="F56" s="309"/>
      <c r="G56" s="188"/>
      <c r="H56" s="365"/>
      <c r="I56" s="309"/>
      <c r="J56" s="309"/>
      <c r="K56" s="309"/>
      <c r="L56" s="309"/>
      <c r="M56" s="309"/>
      <c r="N56" s="309"/>
      <c r="O56" s="309"/>
      <c r="P56" s="309"/>
      <c r="Q56" s="35"/>
      <c r="R56" s="35"/>
      <c r="S56" s="35"/>
      <c r="T56" s="35"/>
      <c r="U56" s="35"/>
      <c r="V56" s="35"/>
      <c r="W56" s="35"/>
      <c r="X56" s="35"/>
    </row>
    <row r="57" spans="1:24" s="6" customFormat="1" ht="12" customHeight="1" hidden="1" thickBot="1">
      <c r="A57" s="351"/>
      <c r="B57" s="182"/>
      <c r="C57" s="183"/>
      <c r="D57" s="183"/>
      <c r="E57" s="309"/>
      <c r="F57" s="309"/>
      <c r="G57" s="188"/>
      <c r="H57" s="365"/>
      <c r="I57" s="309"/>
      <c r="J57" s="309"/>
      <c r="K57" s="309"/>
      <c r="L57" s="309"/>
      <c r="M57" s="309"/>
      <c r="N57" s="309"/>
      <c r="O57" s="309"/>
      <c r="P57" s="309"/>
      <c r="Q57" s="35"/>
      <c r="R57" s="35"/>
      <c r="S57" s="35"/>
      <c r="T57" s="35"/>
      <c r="U57" s="35"/>
      <c r="V57" s="35"/>
      <c r="W57" s="35"/>
      <c r="X57" s="35"/>
    </row>
    <row r="58" spans="1:24" s="168" customFormat="1" ht="21.75" customHeight="1" hidden="1" thickBot="1">
      <c r="A58" s="196" t="s">
        <v>127</v>
      </c>
      <c r="B58" s="369" t="s">
        <v>9</v>
      </c>
      <c r="C58" s="197">
        <f>C18-C37</f>
        <v>0</v>
      </c>
      <c r="L58" s="169"/>
      <c r="Q58" s="170"/>
      <c r="R58" s="170"/>
      <c r="S58" s="170"/>
      <c r="T58" s="170"/>
      <c r="U58" s="170"/>
      <c r="V58" s="170"/>
      <c r="W58" s="170"/>
      <c r="X58" s="170"/>
    </row>
    <row r="59" spans="1:4" s="170" customFormat="1" ht="11.25" customHeight="1" hidden="1">
      <c r="A59" s="181"/>
      <c r="B59" s="182"/>
      <c r="C59" s="183"/>
      <c r="D59" s="183"/>
    </row>
    <row r="60" spans="1:4" s="170" customFormat="1" ht="11.25" customHeight="1">
      <c r="A60" s="181"/>
      <c r="B60" s="182"/>
      <c r="C60" s="183"/>
      <c r="D60" s="183"/>
    </row>
    <row r="61" spans="1:212"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row>
    <row r="62" spans="1:24" s="168" customFormat="1" ht="38.25" customHeight="1" thickBot="1">
      <c r="A62" s="184" t="s">
        <v>128</v>
      </c>
      <c r="B62" s="185" t="s">
        <v>9</v>
      </c>
      <c r="C62" s="186">
        <f>C63+C64</f>
        <v>37500</v>
      </c>
      <c r="E62" s="187"/>
      <c r="G62" s="188"/>
      <c r="H62" s="188"/>
      <c r="Q62" s="170"/>
      <c r="R62" s="170"/>
      <c r="S62" s="170"/>
      <c r="T62" s="170"/>
      <c r="U62" s="170"/>
      <c r="V62" s="170"/>
      <c r="W62" s="170"/>
      <c r="X62" s="170"/>
    </row>
    <row r="63" spans="1:212" s="170" customFormat="1" ht="14.25" customHeight="1">
      <c r="A63" s="189" t="s">
        <v>68</v>
      </c>
      <c r="B63" s="190" t="s">
        <v>9</v>
      </c>
      <c r="C63" s="191">
        <v>9500</v>
      </c>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row>
    <row r="64" spans="1:212" s="170" customFormat="1" ht="14.25" customHeight="1" thickBot="1">
      <c r="A64" s="192" t="s">
        <v>30</v>
      </c>
      <c r="B64" s="193" t="s">
        <v>9</v>
      </c>
      <c r="C64" s="194">
        <v>28000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row>
    <row r="65" spans="1:212"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row>
    <row r="66" spans="1:212" s="26" customFormat="1" ht="14.25" hidden="1">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row>
    <row r="67" spans="1:212" s="26" customFormat="1" ht="14.25" hidden="1">
      <c r="A67" s="605" t="s">
        <v>138</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row>
    <row r="68" spans="1:212" s="374" customFormat="1" ht="33" customHeight="1" hidden="1">
      <c r="A68" s="626" t="s">
        <v>137</v>
      </c>
      <c r="B68" s="626"/>
      <c r="C68" s="626"/>
      <c r="D68" s="626"/>
      <c r="E68" s="626"/>
      <c r="F68" s="626"/>
      <c r="G68" s="626"/>
      <c r="H68" s="626"/>
      <c r="I68" s="626"/>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c r="GO68" s="181"/>
      <c r="GP68" s="181"/>
      <c r="GQ68" s="181"/>
      <c r="GR68" s="181"/>
      <c r="GS68" s="181"/>
      <c r="GT68" s="181"/>
      <c r="GU68" s="181"/>
      <c r="GV68" s="181"/>
      <c r="GW68" s="181"/>
      <c r="GX68" s="181"/>
      <c r="GY68" s="181"/>
      <c r="GZ68" s="181"/>
      <c r="HA68" s="181"/>
      <c r="HB68" s="181"/>
      <c r="HC68" s="181"/>
      <c r="HD68" s="181"/>
    </row>
    <row r="69" spans="1:9" s="26" customFormat="1" ht="57" customHeight="1" hidden="1">
      <c r="A69" s="626" t="s">
        <v>140</v>
      </c>
      <c r="B69" s="626"/>
      <c r="C69" s="626"/>
      <c r="D69" s="626"/>
      <c r="E69" s="626"/>
      <c r="F69" s="626"/>
      <c r="G69" s="626"/>
      <c r="H69" s="626"/>
      <c r="I69" s="626"/>
    </row>
    <row r="70" spans="1:3" s="26" customFormat="1" ht="45" customHeight="1" hidden="1">
      <c r="A70" s="43"/>
      <c r="B70" s="43"/>
      <c r="C70" s="50"/>
    </row>
    <row r="71" spans="1:6" s="26" customFormat="1" ht="15" hidden="1">
      <c r="A71" s="43"/>
      <c r="B71" s="44"/>
      <c r="C71" s="87"/>
      <c r="E71" s="187" t="s">
        <v>50</v>
      </c>
      <c r="F71" s="168"/>
    </row>
    <row r="72" spans="1:6" s="26" customFormat="1" ht="15" hidden="1">
      <c r="A72" s="48"/>
      <c r="B72" s="49"/>
      <c r="C72" s="149"/>
      <c r="E72" s="44"/>
      <c r="F72" s="44" t="s">
        <v>51</v>
      </c>
    </row>
    <row r="73" spans="1:3" s="26" customFormat="1" ht="15" hidden="1">
      <c r="A73" s="48"/>
      <c r="B73" s="49"/>
      <c r="C73" s="150"/>
    </row>
    <row r="74" spans="1:2" s="26" customFormat="1" ht="15" hidden="1">
      <c r="A74" s="43"/>
      <c r="B74" s="43"/>
    </row>
    <row r="75" spans="1:3" s="26" customFormat="1" ht="14.25" hidden="1">
      <c r="A75" s="573"/>
      <c r="B75" s="573"/>
      <c r="C75" s="87"/>
    </row>
    <row r="76" spans="1:3" s="26" customFormat="1" ht="12.75" hidden="1">
      <c r="A76" s="217"/>
      <c r="C76" s="152"/>
    </row>
    <row r="77" s="26" customFormat="1" ht="12.75" hidden="1"/>
    <row r="78" s="26" customFormat="1" ht="12.75" hidden="1"/>
    <row r="79" ht="12.75" hidden="1"/>
  </sheetData>
  <sheetProtection/>
  <mergeCells count="23">
    <mergeCell ref="M17:M18"/>
    <mergeCell ref="A1:D1"/>
    <mergeCell ref="G1:J5"/>
    <mergeCell ref="A2:D2"/>
    <mergeCell ref="A4:D4"/>
    <mergeCell ref="C6:D6"/>
    <mergeCell ref="J17:J18"/>
    <mergeCell ref="C5:D5"/>
    <mergeCell ref="A68:I68"/>
    <mergeCell ref="E26:E27"/>
    <mergeCell ref="F26:F27"/>
    <mergeCell ref="A75:B75"/>
    <mergeCell ref="A26:A27"/>
    <mergeCell ref="B26:B27"/>
    <mergeCell ref="C26:C27"/>
    <mergeCell ref="D26:D27"/>
    <mergeCell ref="A69:I69"/>
    <mergeCell ref="J26:J27"/>
    <mergeCell ref="I26:I27"/>
    <mergeCell ref="H26:H27"/>
    <mergeCell ref="G26:G27"/>
    <mergeCell ref="A66:I66"/>
    <mergeCell ref="A67:I67"/>
  </mergeCells>
  <printOptions/>
  <pageMargins left="0.25" right="0.25" top="0.75" bottom="0.75" header="0.3" footer="0.3"/>
  <pageSetup fitToHeight="1" fitToWidth="1" horizontalDpi="600" verticalDpi="600" orientation="portrait" paperSize="9" scale="41"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Z85"/>
  <sheetViews>
    <sheetView zoomScalePageLayoutView="0" workbookViewId="0" topLeftCell="A13">
      <selection activeCell="A16" sqref="A1:IV16384"/>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t="s">
        <v>77</v>
      </c>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59173</v>
      </c>
      <c r="D6" s="155">
        <f>D7+D8+D9+D12+D13</f>
        <v>0.9999999999999999</v>
      </c>
    </row>
    <row r="7" spans="1:20" s="6" customFormat="1" ht="21" customHeight="1">
      <c r="A7" s="58" t="s">
        <v>4</v>
      </c>
      <c r="B7" s="59" t="s">
        <v>3</v>
      </c>
      <c r="C7" s="60">
        <v>14224</v>
      </c>
      <c r="D7" s="157">
        <f>14224/59173</f>
        <v>0.240379902996299</v>
      </c>
      <c r="F7" s="55"/>
      <c r="J7" s="55"/>
      <c r="K7" s="55"/>
      <c r="L7" s="55"/>
      <c r="M7" s="35"/>
      <c r="N7" s="35"/>
      <c r="O7" s="35"/>
      <c r="P7" s="35"/>
      <c r="Q7" s="35"/>
      <c r="R7" s="35"/>
      <c r="S7" s="35"/>
      <c r="T7" s="35"/>
    </row>
    <row r="8" spans="1:20" s="6" customFormat="1" ht="21" customHeight="1">
      <c r="A8" s="58" t="s">
        <v>8</v>
      </c>
      <c r="B8" s="59" t="s">
        <v>3</v>
      </c>
      <c r="C8" s="60">
        <v>4517</v>
      </c>
      <c r="D8" s="157">
        <f>4517/59173</f>
        <v>0.07633549084886689</v>
      </c>
      <c r="E8" s="35"/>
      <c r="M8" s="35"/>
      <c r="N8" s="35"/>
      <c r="O8" s="35"/>
      <c r="P8" s="35"/>
      <c r="Q8" s="35"/>
      <c r="R8" s="35"/>
      <c r="S8" s="35"/>
      <c r="T8" s="35"/>
    </row>
    <row r="9" spans="1:20" s="6" customFormat="1" ht="21" customHeight="1">
      <c r="A9" s="58" t="s">
        <v>21</v>
      </c>
      <c r="B9" s="59" t="s">
        <v>3</v>
      </c>
      <c r="C9" s="60">
        <f>C10+C11</f>
        <v>34661</v>
      </c>
      <c r="D9" s="157">
        <f>D10+D11</f>
        <v>0.5857570175586838</v>
      </c>
      <c r="M9" s="35"/>
      <c r="N9" s="35"/>
      <c r="O9" s="35"/>
      <c r="P9" s="35"/>
      <c r="Q9" s="35"/>
      <c r="R9" s="35"/>
      <c r="S9" s="35"/>
      <c r="T9" s="35"/>
    </row>
    <row r="10" spans="1:20" s="6" customFormat="1" ht="21" customHeight="1">
      <c r="A10" s="97" t="s">
        <v>48</v>
      </c>
      <c r="B10" s="59" t="s">
        <v>3</v>
      </c>
      <c r="C10" s="85">
        <f>29082+1415+456</f>
        <v>30953</v>
      </c>
      <c r="D10" s="156">
        <f>29082/59173</f>
        <v>0.4914741520625961</v>
      </c>
      <c r="E10" s="27"/>
      <c r="M10" s="35"/>
      <c r="N10" s="35"/>
      <c r="O10" s="35"/>
      <c r="P10" s="35"/>
      <c r="Q10" s="35"/>
      <c r="R10" s="35"/>
      <c r="S10" s="35"/>
      <c r="T10" s="35"/>
    </row>
    <row r="11" spans="1:20" s="6" customFormat="1" ht="21" customHeight="1">
      <c r="A11" s="97" t="s">
        <v>64</v>
      </c>
      <c r="B11" s="59" t="s">
        <v>3</v>
      </c>
      <c r="C11" s="98">
        <f>5579-1415-456</f>
        <v>3708</v>
      </c>
      <c r="D11" s="156">
        <f>5579/59173</f>
        <v>0.09428286549608775</v>
      </c>
      <c r="M11" s="35"/>
      <c r="N11" s="35"/>
      <c r="O11" s="35"/>
      <c r="P11" s="35"/>
      <c r="Q11" s="35"/>
      <c r="R11" s="35"/>
      <c r="S11" s="35"/>
      <c r="T11" s="35"/>
    </row>
    <row r="12" spans="1:4" ht="21" customHeight="1">
      <c r="A12" s="99" t="s">
        <v>65</v>
      </c>
      <c r="B12" s="100" t="s">
        <v>3</v>
      </c>
      <c r="C12" s="101">
        <v>5117</v>
      </c>
      <c r="D12" s="157">
        <f>5117/59173</f>
        <v>0.08647525053656228</v>
      </c>
    </row>
    <row r="13" spans="1:9" ht="21" customHeight="1" thickBot="1">
      <c r="A13" s="58" t="s">
        <v>66</v>
      </c>
      <c r="B13" s="59" t="s">
        <v>3</v>
      </c>
      <c r="C13" s="102">
        <v>654</v>
      </c>
      <c r="D13" s="158">
        <f>654/59173</f>
        <v>0.011052338059587987</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214411</v>
      </c>
      <c r="D18" s="106">
        <f t="shared" si="0"/>
        <v>73315</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f>53292+142+142</f>
        <v>53576</v>
      </c>
      <c r="D19" s="112">
        <f>ROUND(C19-E19-F19-G19-H19,0)</f>
        <v>22242</v>
      </c>
      <c r="E19" s="112">
        <v>3347</v>
      </c>
      <c r="F19" s="112">
        <v>13375</v>
      </c>
      <c r="G19" s="112">
        <f>5842+1286</f>
        <v>7128</v>
      </c>
      <c r="H19" s="112">
        <v>7484</v>
      </c>
      <c r="I19" s="112">
        <f>26500*(58575/171094)+1350+1500-300</f>
        <v>11622.425099652823</v>
      </c>
      <c r="J19" s="107"/>
      <c r="K19" s="107"/>
      <c r="L19" s="107"/>
      <c r="M19" s="109"/>
      <c r="N19" s="79"/>
      <c r="O19" s="79"/>
      <c r="P19" s="113"/>
      <c r="Q19" s="113"/>
      <c r="R19" s="113"/>
      <c r="S19" s="113"/>
      <c r="T19" s="113"/>
    </row>
    <row r="20" spans="1:20" s="114" customFormat="1" ht="21" customHeight="1">
      <c r="A20" s="58" t="s">
        <v>10</v>
      </c>
      <c r="B20" s="59" t="s">
        <v>9</v>
      </c>
      <c r="C20" s="112">
        <f>49350+1857-142-142-390</f>
        <v>50533</v>
      </c>
      <c r="D20" s="112">
        <f>ROUND(C20-E20-F20-G20-H20,0)</f>
        <v>6061</v>
      </c>
      <c r="E20" s="112">
        <v>1063</v>
      </c>
      <c r="F20" s="112">
        <v>4253</v>
      </c>
      <c r="G20" s="112">
        <f>30123+5154</f>
        <v>35277</v>
      </c>
      <c r="H20" s="112">
        <v>3879</v>
      </c>
      <c r="I20" s="112">
        <f>26500*(47355/171094)-3281-1000+300</f>
        <v>3353.608460846085</v>
      </c>
      <c r="J20" s="107"/>
      <c r="K20" s="107"/>
      <c r="L20" s="107"/>
      <c r="M20" s="109"/>
      <c r="N20" s="79"/>
      <c r="O20" s="79"/>
      <c r="P20" s="113"/>
      <c r="Q20" s="113"/>
      <c r="R20" s="113"/>
      <c r="S20" s="113"/>
      <c r="T20" s="113"/>
    </row>
    <row r="21" spans="1:20" s="114" customFormat="1" ht="21" customHeight="1">
      <c r="A21" s="58" t="s">
        <v>5</v>
      </c>
      <c r="B21" s="59" t="s">
        <v>9</v>
      </c>
      <c r="C21" s="112">
        <f aca="true" t="shared" si="1" ref="C21:I21">C22+C23</f>
        <v>90404</v>
      </c>
      <c r="D21" s="112">
        <f t="shared" si="1"/>
        <v>31906</v>
      </c>
      <c r="E21" s="112">
        <f t="shared" si="1"/>
        <v>8155</v>
      </c>
      <c r="F21" s="112">
        <f t="shared" si="1"/>
        <v>32591</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f>77364+3773-1857</f>
        <v>79280</v>
      </c>
      <c r="D22" s="153">
        <f>ROUND(C22-E22-F22-G22-H22,0)</f>
        <v>25131</v>
      </c>
      <c r="E22" s="116">
        <v>7287</v>
      </c>
      <c r="F22" s="116">
        <v>29110</v>
      </c>
      <c r="G22" s="116">
        <f>7000+750+1667</f>
        <v>9417</v>
      </c>
      <c r="H22" s="116">
        <v>8335</v>
      </c>
      <c r="I22" s="153">
        <f>ROUND(26500*(65164/171094)+1731-300,0)</f>
        <v>11524</v>
      </c>
      <c r="J22" s="107"/>
      <c r="K22" s="107"/>
      <c r="L22" s="107"/>
      <c r="M22" s="109"/>
      <c r="N22" s="79"/>
      <c r="O22" s="79"/>
      <c r="P22" s="111"/>
      <c r="Q22" s="111"/>
      <c r="R22" s="111"/>
      <c r="S22" s="111"/>
      <c r="T22" s="111"/>
    </row>
    <row r="23" spans="1:20" s="108" customFormat="1" ht="16.5" customHeight="1">
      <c r="A23" s="97" t="s">
        <v>64</v>
      </c>
      <c r="B23" s="59" t="s">
        <v>9</v>
      </c>
      <c r="C23" s="116">
        <f>3708*3</f>
        <v>11124</v>
      </c>
      <c r="D23" s="116">
        <f>ROUND(C23-E23-F23-G23-H23,0)</f>
        <v>6775</v>
      </c>
      <c r="E23" s="85">
        <v>868</v>
      </c>
      <c r="F23" s="85">
        <v>3481</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12195</v>
      </c>
      <c r="E24" s="60">
        <v>1205</v>
      </c>
      <c r="F24" s="60">
        <v>4817</v>
      </c>
      <c r="G24" s="60"/>
      <c r="H24" s="60"/>
      <c r="I24" s="60"/>
      <c r="J24" s="107"/>
      <c r="K24" s="107"/>
      <c r="L24" s="107"/>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911</v>
      </c>
      <c r="E25" s="125">
        <v>154</v>
      </c>
      <c r="F25" s="125">
        <v>616</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0" ht="16.5" customHeight="1">
      <c r="A30" s="11" t="s">
        <v>34</v>
      </c>
      <c r="B30" s="76"/>
      <c r="C30" s="77"/>
      <c r="D30" s="77"/>
      <c r="E30" s="77"/>
      <c r="F30" s="77"/>
      <c r="G30" s="77"/>
      <c r="H30" s="77"/>
      <c r="I30" s="77"/>
      <c r="J30" s="77"/>
    </row>
    <row r="31" spans="1:20" s="6" customFormat="1" ht="12" customHeight="1">
      <c r="A31" s="30" t="s">
        <v>35</v>
      </c>
      <c r="B31" s="31" t="s">
        <v>11</v>
      </c>
      <c r="C31" s="33">
        <f>D31+J31</f>
        <v>4.590000000000001</v>
      </c>
      <c r="D31" s="81">
        <f>E31+F31+G31+H31+I31</f>
        <v>3.7700000000000005</v>
      </c>
      <c r="E31" s="81">
        <f>ROUND(D19/C7,2)</f>
        <v>1.56</v>
      </c>
      <c r="F31" s="81">
        <f>ROUND(E19/C7,2)</f>
        <v>0.24</v>
      </c>
      <c r="G31" s="81">
        <f>ROUND(F19/C7,2)</f>
        <v>0.94</v>
      </c>
      <c r="H31" s="81">
        <f>ROUND(G19/C7,2)</f>
        <v>0.5</v>
      </c>
      <c r="I31" s="81">
        <f>ROUND(H19/C7,2)</f>
        <v>0.53</v>
      </c>
      <c r="J31" s="81">
        <f>ROUND(I19/C7,2)</f>
        <v>0.82</v>
      </c>
      <c r="K31" s="86"/>
      <c r="L31" s="86"/>
      <c r="M31" s="89"/>
      <c r="N31" s="90"/>
      <c r="O31" s="35"/>
      <c r="P31" s="35"/>
      <c r="Q31" s="88"/>
      <c r="R31" s="35"/>
      <c r="S31" s="35"/>
      <c r="T31" s="35"/>
    </row>
    <row r="32" spans="1:20" s="6" customFormat="1" ht="12" customHeight="1">
      <c r="A32" s="13" t="s">
        <v>36</v>
      </c>
      <c r="B32" s="4" t="s">
        <v>11</v>
      </c>
      <c r="C32" s="33">
        <f>D32+J32</f>
        <v>11.93</v>
      </c>
      <c r="D32" s="81">
        <f aca="true" t="shared" si="2" ref="D32:D37">E32+F32+G32+H32+I32</f>
        <v>11.19</v>
      </c>
      <c r="E32" s="81">
        <f>ROUND(D20/C8,2)</f>
        <v>1.34</v>
      </c>
      <c r="F32" s="81">
        <f>ROUND(E20/C8,2)</f>
        <v>0.24</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2.9400000000000004</v>
      </c>
      <c r="D33" s="81">
        <f t="shared" si="2"/>
        <v>2.6100000000000003</v>
      </c>
      <c r="E33" s="81">
        <f>ROUND(D21/C9,2)</f>
        <v>0.92</v>
      </c>
      <c r="F33" s="81">
        <f>ROUND(E21/C9,2)</f>
        <v>0.24</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2.93360902012729</v>
      </c>
      <c r="D34" s="81">
        <f t="shared" si="2"/>
        <v>2.5613026201014444</v>
      </c>
      <c r="E34" s="81">
        <f>D22/C10</f>
        <v>0.8119083772170711</v>
      </c>
      <c r="F34" s="81">
        <f>E22/C10</f>
        <v>0.2354214454172455</v>
      </c>
      <c r="G34" s="81">
        <f>F22/C10</f>
        <v>0.9404581139146447</v>
      </c>
      <c r="H34" s="81">
        <f>G22/C10</f>
        <v>0.3042354537524634</v>
      </c>
      <c r="I34" s="81">
        <f>H22/C10</f>
        <v>0.2692792298000194</v>
      </c>
      <c r="J34" s="81">
        <f>I22/C10</f>
        <v>0.37230640002584564</v>
      </c>
      <c r="K34" s="86"/>
      <c r="L34" s="86"/>
      <c r="M34" s="89"/>
      <c r="N34" s="90"/>
      <c r="O34" s="35"/>
      <c r="P34" s="35"/>
      <c r="Q34" s="88"/>
      <c r="R34" s="35"/>
      <c r="S34" s="35"/>
      <c r="T34" s="35"/>
    </row>
    <row r="35" spans="1:20" s="6" customFormat="1" ht="12" customHeight="1">
      <c r="A35" s="13" t="s">
        <v>64</v>
      </c>
      <c r="B35" s="4" t="s">
        <v>11</v>
      </c>
      <c r="C35" s="14">
        <f>C23/C11</f>
        <v>3</v>
      </c>
      <c r="D35" s="81">
        <f t="shared" si="2"/>
        <v>3</v>
      </c>
      <c r="E35" s="81">
        <f>D23/C11</f>
        <v>1.8271305285868393</v>
      </c>
      <c r="F35" s="71">
        <f>E23/C11</f>
        <v>0.23408845738942827</v>
      </c>
      <c r="G35" s="71">
        <f>F23/C11</f>
        <v>0.9387810140237325</v>
      </c>
      <c r="H35" s="71"/>
      <c r="I35" s="14"/>
      <c r="J35" s="14"/>
      <c r="M35" s="89"/>
      <c r="N35" s="35"/>
      <c r="O35" s="35"/>
      <c r="P35" s="35"/>
      <c r="Q35" s="35"/>
      <c r="R35" s="35"/>
      <c r="S35" s="35"/>
      <c r="T35" s="35"/>
    </row>
    <row r="36" spans="1:13" ht="12" customHeight="1">
      <c r="A36" s="30" t="s">
        <v>65</v>
      </c>
      <c r="B36" s="31" t="s">
        <v>11</v>
      </c>
      <c r="C36" s="32">
        <v>3.56</v>
      </c>
      <c r="D36" s="81">
        <f t="shared" si="2"/>
        <v>3.5600938049638455</v>
      </c>
      <c r="E36" s="81">
        <f>D24/C12</f>
        <v>2.3832323627125267</v>
      </c>
      <c r="F36" s="81">
        <f>E24/C12</f>
        <v>0.23548954465507133</v>
      </c>
      <c r="G36" s="81">
        <f>F24/C12</f>
        <v>0.9413718975962478</v>
      </c>
      <c r="H36" s="72"/>
      <c r="I36" s="32"/>
      <c r="J36" s="32"/>
      <c r="M36" s="89"/>
    </row>
    <row r="37" spans="1:13" ht="12" customHeight="1" thickBot="1">
      <c r="A37" s="127" t="s">
        <v>6</v>
      </c>
      <c r="B37" s="10" t="s">
        <v>11</v>
      </c>
      <c r="C37" s="34">
        <v>2.57</v>
      </c>
      <c r="D37" s="82">
        <f t="shared" si="2"/>
        <v>2.5703363914373085</v>
      </c>
      <c r="E37" s="82">
        <f>D25/C13</f>
        <v>1.392966360856269</v>
      </c>
      <c r="F37" s="82">
        <f>E25/C13</f>
        <v>0.23547400611620795</v>
      </c>
      <c r="G37" s="82">
        <f>F25/C13</f>
        <v>0.9418960244648318</v>
      </c>
      <c r="H37" s="73"/>
      <c r="I37" s="34"/>
      <c r="J37" s="34"/>
      <c r="M37" s="89"/>
    </row>
    <row r="38" spans="1:3" ht="14.25" customHeight="1" thickBot="1">
      <c r="A38" s="15"/>
      <c r="B38" s="16"/>
      <c r="C38" s="2"/>
    </row>
    <row r="39" spans="1:6" ht="19.5" customHeight="1">
      <c r="A39" s="17" t="s">
        <v>12</v>
      </c>
      <c r="B39" s="18" t="s">
        <v>9</v>
      </c>
      <c r="C39" s="1">
        <f>C40+C42+C45+C47</f>
        <v>214800.6666666667</v>
      </c>
      <c r="D39" s="78"/>
      <c r="E39" t="s">
        <v>17</v>
      </c>
      <c r="F39" s="36"/>
    </row>
    <row r="40" spans="1:9" ht="16.5" customHeight="1">
      <c r="A40" s="58" t="s">
        <v>18</v>
      </c>
      <c r="B40" s="59" t="s">
        <v>9</v>
      </c>
      <c r="C40" s="60">
        <f>C41</f>
        <v>73705</v>
      </c>
      <c r="D40" s="79"/>
      <c r="I40" s="57"/>
    </row>
    <row r="41" spans="1:9" ht="12.75" customHeight="1">
      <c r="A41" s="8" t="s">
        <v>19</v>
      </c>
      <c r="B41" s="4" t="s">
        <v>9</v>
      </c>
      <c r="C41" s="12">
        <v>73705</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c r="A52" s="22"/>
      <c r="B52" s="23"/>
      <c r="C52" s="24"/>
      <c r="D52" s="24"/>
    </row>
    <row r="53" spans="1:11" ht="21.75" customHeight="1" hidden="1">
      <c r="A53" s="128" t="s">
        <v>43</v>
      </c>
      <c r="B53" s="129"/>
      <c r="C53" s="130"/>
      <c r="K53" s="28">
        <f>C18-C39-26500</f>
        <v>-26889.666666666686</v>
      </c>
    </row>
    <row r="54" spans="1:20" s="84" customFormat="1" ht="24.75" customHeight="1" hidden="1">
      <c r="A54" s="131" t="s">
        <v>55</v>
      </c>
      <c r="B54" s="132" t="s">
        <v>9</v>
      </c>
      <c r="C54" s="133">
        <f>(35330862.47-3888970.86-120491.03+14515878.86*0.0054)/1000</f>
        <v>31399.786325843997</v>
      </c>
      <c r="M54" s="53"/>
      <c r="N54" s="53"/>
      <c r="O54" s="53"/>
      <c r="P54" s="53"/>
      <c r="Q54" s="53"/>
      <c r="R54" s="53"/>
      <c r="S54" s="53"/>
      <c r="T54" s="53"/>
    </row>
    <row r="55" spans="1:3" ht="24.75" customHeight="1" hidden="1">
      <c r="A55" s="147" t="s">
        <v>56</v>
      </c>
      <c r="B55" s="148" t="s">
        <v>9</v>
      </c>
      <c r="C55" s="116">
        <f>(2250000*4+956250+928125+900000+871875)/1000</f>
        <v>12656.25</v>
      </c>
    </row>
    <row r="56" spans="1:3" ht="24.75" customHeight="1" hidden="1">
      <c r="A56" s="131" t="s">
        <v>57</v>
      </c>
      <c r="B56" s="134" t="s">
        <v>9</v>
      </c>
      <c r="C56" s="135"/>
    </row>
    <row r="57" spans="1:3" ht="27" customHeight="1" hidden="1">
      <c r="A57" s="136" t="s">
        <v>52</v>
      </c>
      <c r="B57" s="134" t="s">
        <v>9</v>
      </c>
      <c r="C57" s="137">
        <v>19246</v>
      </c>
    </row>
    <row r="58" spans="1:7" ht="27" customHeight="1" hidden="1">
      <c r="A58" s="136" t="s">
        <v>44</v>
      </c>
      <c r="B58" s="134" t="s">
        <v>9</v>
      </c>
      <c r="C58" s="137">
        <v>2615</v>
      </c>
      <c r="G58" s="91"/>
    </row>
    <row r="59" spans="1:5" ht="30.75" customHeight="1" hidden="1">
      <c r="A59" s="138" t="s">
        <v>53</v>
      </c>
      <c r="B59" s="139"/>
      <c r="C59" s="140">
        <v>28000</v>
      </c>
      <c r="E59" s="28"/>
    </row>
    <row r="60" spans="1:4" s="26" customFormat="1" ht="11.25" customHeight="1" hidden="1">
      <c r="A60" s="22"/>
      <c r="B60" s="23"/>
      <c r="C60" s="24"/>
      <c r="D60" s="24"/>
    </row>
    <row r="61" spans="1:4" s="26" customFormat="1" ht="11.25" customHeight="1" hidden="1">
      <c r="A61" s="22"/>
      <c r="B61" s="23"/>
      <c r="C61" s="24"/>
      <c r="D61" s="24"/>
    </row>
    <row r="62" spans="1:208" s="26" customFormat="1" ht="15" customHeight="1" hidden="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8" ht="38.25" customHeight="1" hidden="1">
      <c r="A63" s="41" t="s">
        <v>54</v>
      </c>
      <c r="B63" s="42" t="s">
        <v>9</v>
      </c>
      <c r="C63" s="62">
        <f>C64+C65</f>
        <v>26500</v>
      </c>
      <c r="E63" s="37" t="s">
        <v>50</v>
      </c>
      <c r="G63" s="38"/>
      <c r="H63" s="38"/>
    </row>
    <row r="64" spans="1:208" s="26" customFormat="1" ht="14.25" customHeight="1" hidden="1">
      <c r="A64" s="141" t="s">
        <v>68</v>
      </c>
      <c r="B64" s="142" t="s">
        <v>9</v>
      </c>
      <c r="C64" s="143">
        <v>8500</v>
      </c>
      <c r="D64" s="44"/>
      <c r="E64" s="44"/>
      <c r="F64" s="44" t="s">
        <v>51</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26" customFormat="1" ht="14.25" customHeight="1" hidden="1">
      <c r="A65" s="144" t="s">
        <v>30</v>
      </c>
      <c r="B65" s="145" t="s">
        <v>9</v>
      </c>
      <c r="C65" s="146">
        <v>18000</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4.25" customHeight="1" hidden="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16.5" customHeight="1" hidden="1">
      <c r="A67" s="43"/>
      <c r="B67" s="43"/>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47.25" customHeight="1" hidden="1">
      <c r="A68" s="571" t="s">
        <v>49</v>
      </c>
      <c r="B68" s="571"/>
      <c r="C68" s="571"/>
      <c r="D68" s="571"/>
      <c r="E68" s="571"/>
      <c r="F68" s="571"/>
      <c r="G68" s="571"/>
      <c r="H68" s="571"/>
      <c r="I68" s="57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208" s="26" customFormat="1" ht="18" customHeight="1" hidden="1">
      <c r="A69" s="572"/>
      <c r="B69" s="57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row>
    <row r="70" spans="1:3" s="26" customFormat="1" ht="12.75" hidden="1">
      <c r="A70" s="46"/>
      <c r="B70" s="45"/>
      <c r="C70" s="50"/>
    </row>
    <row r="71" spans="1:3" s="26" customFormat="1" ht="15" hidden="1">
      <c r="A71" s="43"/>
      <c r="B71" s="43"/>
      <c r="C71" s="50"/>
    </row>
    <row r="72" spans="1:4" s="26" customFormat="1" ht="14.25" hidden="1">
      <c r="A72" s="573" t="s">
        <v>58</v>
      </c>
      <c r="B72" s="573"/>
      <c r="C72" s="50"/>
      <c r="D72" s="87">
        <f>214007*1.2+26500</f>
        <v>283308.4</v>
      </c>
    </row>
    <row r="73" spans="1:4" s="26" customFormat="1" ht="12.75" customHeight="1" hidden="1">
      <c r="A73" s="46" t="s">
        <v>60</v>
      </c>
      <c r="B73" s="45"/>
      <c r="C73" s="50"/>
      <c r="D73" s="87">
        <f>D74+D75+D76</f>
        <v>55123.200000000004</v>
      </c>
    </row>
    <row r="74" spans="1:4" s="26" customFormat="1" ht="12.75" hidden="1">
      <c r="A74" s="46" t="s">
        <v>59</v>
      </c>
      <c r="B74" s="45"/>
      <c r="C74" s="50"/>
      <c r="D74" s="87">
        <f>32600*1.2</f>
        <v>39120</v>
      </c>
    </row>
    <row r="75" spans="1:4" s="26" customFormat="1" ht="15" hidden="1">
      <c r="A75" s="43" t="s">
        <v>61</v>
      </c>
      <c r="B75" s="43"/>
      <c r="C75" s="50"/>
      <c r="D75" s="87">
        <f>8547*1.2</f>
        <v>10256.4</v>
      </c>
    </row>
    <row r="76" spans="1:4" s="26" customFormat="1" ht="14.25" hidden="1">
      <c r="A76" s="573" t="s">
        <v>62</v>
      </c>
      <c r="B76" s="573"/>
      <c r="C76" s="50"/>
      <c r="D76" s="87">
        <f>4789*1.2</f>
        <v>5746.8</v>
      </c>
    </row>
    <row r="77" spans="1:4" s="52" customFormat="1" ht="15" hidden="1">
      <c r="A77" s="94" t="s">
        <v>63</v>
      </c>
      <c r="B77" s="45"/>
      <c r="C77" s="51"/>
      <c r="D77" s="93">
        <f>D72+D73</f>
        <v>338431.60000000003</v>
      </c>
    </row>
    <row r="78" spans="1:6" s="26" customFormat="1" ht="15">
      <c r="A78" s="47"/>
      <c r="B78" s="45"/>
      <c r="F78" s="92"/>
    </row>
    <row r="79" spans="1:3" s="26" customFormat="1" ht="15">
      <c r="A79" s="43"/>
      <c r="B79" s="43"/>
      <c r="C79" s="87"/>
    </row>
    <row r="80" spans="1:3" s="26" customFormat="1" ht="15">
      <c r="A80" s="43"/>
      <c r="B80" s="44"/>
      <c r="C80" s="87"/>
    </row>
    <row r="81" spans="1:3" s="26" customFormat="1" ht="15">
      <c r="A81" s="48"/>
      <c r="B81" s="49"/>
      <c r="C81" s="149"/>
    </row>
    <row r="82" spans="1:3" s="26" customFormat="1" ht="15">
      <c r="A82" s="48"/>
      <c r="B82" s="49"/>
      <c r="C82" s="150"/>
    </row>
    <row r="83" spans="1:2" s="26" customFormat="1" ht="15">
      <c r="A83" s="43"/>
      <c r="B83" s="43"/>
    </row>
    <row r="84" spans="1:3" s="26" customFormat="1" ht="14.25">
      <c r="A84" s="573"/>
      <c r="B84" s="573"/>
      <c r="C84" s="87"/>
    </row>
    <row r="85" spans="1:3" s="26" customFormat="1" ht="12.75">
      <c r="A85" s="151"/>
      <c r="C85" s="152"/>
    </row>
    <row r="86" s="26" customFormat="1" ht="12.75"/>
    <row r="87" s="26" customFormat="1" ht="12.75"/>
  </sheetData>
  <sheetProtection/>
  <mergeCells count="19">
    <mergeCell ref="J27:J28"/>
    <mergeCell ref="A1:D1"/>
    <mergeCell ref="A2:D2"/>
    <mergeCell ref="A3:D3"/>
    <mergeCell ref="C5:D5"/>
    <mergeCell ref="A27:A28"/>
    <mergeCell ref="B27:B28"/>
    <mergeCell ref="C27:C28"/>
    <mergeCell ref="D27:D28"/>
    <mergeCell ref="A68:I68"/>
    <mergeCell ref="A69:B69"/>
    <mergeCell ref="A72:B72"/>
    <mergeCell ref="A76:B76"/>
    <mergeCell ref="A84:B84"/>
    <mergeCell ref="E27:E28"/>
    <mergeCell ref="F27:F28"/>
    <mergeCell ref="G27:G28"/>
    <mergeCell ref="H27:H28"/>
    <mergeCell ref="I27:I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worksheet>
</file>

<file path=xl/worksheets/sheet20.xml><?xml version="1.0" encoding="utf-8"?>
<worksheet xmlns="http://schemas.openxmlformats.org/spreadsheetml/2006/main" xmlns:r="http://schemas.openxmlformats.org/officeDocument/2006/relationships">
  <dimension ref="A1:GZ69"/>
  <sheetViews>
    <sheetView zoomScalePageLayoutView="0" workbookViewId="0" topLeftCell="A28">
      <selection activeCell="E44" sqref="E44"/>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2" max="12" width="11.421875" style="0" bestFit="1" customWidth="1"/>
    <col min="13" max="13" width="12.140625" style="26" customWidth="1"/>
    <col min="14" max="14" width="9.8515625" style="26" bestFit="1" customWidth="1"/>
    <col min="15" max="15" width="11.140625" style="26" customWidth="1"/>
    <col min="16" max="20" width="9.140625" style="26" customWidth="1"/>
  </cols>
  <sheetData>
    <row r="1" spans="1:8" ht="23.25" customHeight="1">
      <c r="A1" s="578" t="s">
        <v>20</v>
      </c>
      <c r="B1" s="578"/>
      <c r="C1" s="578"/>
      <c r="D1" s="578"/>
      <c r="H1" s="162"/>
    </row>
    <row r="2" spans="1:4" ht="12.75" customHeight="1">
      <c r="A2" s="579" t="s">
        <v>118</v>
      </c>
      <c r="B2" s="579"/>
      <c r="C2" s="579"/>
      <c r="D2" s="579"/>
    </row>
    <row r="3" spans="1:4" ht="12.75" customHeight="1">
      <c r="A3" s="213"/>
      <c r="B3" s="213"/>
      <c r="C3" s="213"/>
      <c r="D3" s="213"/>
    </row>
    <row r="4" spans="1:4" ht="12.75" customHeight="1">
      <c r="A4" s="592" t="s">
        <v>119</v>
      </c>
      <c r="B4" s="592"/>
      <c r="C4" s="592"/>
      <c r="D4" s="592"/>
    </row>
    <row r="5" spans="1:4" ht="13.5" customHeight="1" thickBot="1">
      <c r="A5" s="29"/>
      <c r="B5" s="29"/>
      <c r="C5" s="29"/>
      <c r="D5" s="29"/>
    </row>
    <row r="6" spans="1:12" ht="37.5" customHeight="1" thickBot="1">
      <c r="A6" s="63" t="s">
        <v>0</v>
      </c>
      <c r="B6" s="64" t="s">
        <v>1</v>
      </c>
      <c r="C6" s="581" t="s">
        <v>75</v>
      </c>
      <c r="D6" s="582"/>
      <c r="F6" s="54"/>
      <c r="J6" s="54"/>
      <c r="K6" s="54"/>
      <c r="L6" s="54"/>
    </row>
    <row r="7" spans="1:4" ht="19.5" customHeight="1">
      <c r="A7" s="95" t="s">
        <v>2</v>
      </c>
      <c r="B7" s="96" t="s">
        <v>3</v>
      </c>
      <c r="C7" s="154">
        <f>SUM(C8:C13)</f>
        <v>60934</v>
      </c>
      <c r="D7" s="155">
        <f>SUM(D8:D13)</f>
        <v>1</v>
      </c>
    </row>
    <row r="8" spans="1:20" s="6" customFormat="1" ht="21" customHeight="1">
      <c r="A8" s="58" t="s">
        <v>4</v>
      </c>
      <c r="B8" s="59" t="s">
        <v>3</v>
      </c>
      <c r="C8" s="60">
        <v>14787</v>
      </c>
      <c r="D8" s="157">
        <f aca="true" t="shared" si="0" ref="D8:D13">C8/$C$7</f>
        <v>0.2426723996455181</v>
      </c>
      <c r="F8" s="55"/>
      <c r="J8" s="55"/>
      <c r="K8" s="55"/>
      <c r="L8" s="55"/>
      <c r="M8" s="35"/>
      <c r="N8" s="35"/>
      <c r="O8" s="35"/>
      <c r="P8" s="35"/>
      <c r="Q8" s="35"/>
      <c r="R8" s="35"/>
      <c r="S8" s="35"/>
      <c r="T8" s="35"/>
    </row>
    <row r="9" spans="1:20" s="6" customFormat="1" ht="21" customHeight="1">
      <c r="A9" s="58" t="s">
        <v>8</v>
      </c>
      <c r="B9" s="59" t="s">
        <v>3</v>
      </c>
      <c r="C9" s="60">
        <v>4492</v>
      </c>
      <c r="D9" s="157">
        <f t="shared" si="0"/>
        <v>0.07371910591787836</v>
      </c>
      <c r="E9" s="35"/>
      <c r="M9" s="35"/>
      <c r="N9" s="35"/>
      <c r="O9" s="35"/>
      <c r="P9" s="35"/>
      <c r="Q9" s="35"/>
      <c r="R9" s="35"/>
      <c r="S9" s="35"/>
      <c r="T9" s="35"/>
    </row>
    <row r="10" spans="1:20" s="6" customFormat="1" ht="21" customHeight="1">
      <c r="A10" s="58" t="s">
        <v>5</v>
      </c>
      <c r="B10" s="59" t="s">
        <v>3</v>
      </c>
      <c r="C10" s="60">
        <v>29773</v>
      </c>
      <c r="D10" s="157">
        <f t="shared" si="0"/>
        <v>0.48861062789247384</v>
      </c>
      <c r="M10" s="35"/>
      <c r="N10" s="35"/>
      <c r="O10" s="35"/>
      <c r="P10" s="35"/>
      <c r="Q10" s="35"/>
      <c r="R10" s="35"/>
      <c r="S10" s="35"/>
      <c r="T10" s="35"/>
    </row>
    <row r="11" spans="1:20" s="6" customFormat="1" ht="21" customHeight="1">
      <c r="A11" s="252" t="s">
        <v>120</v>
      </c>
      <c r="B11" s="59" t="s">
        <v>3</v>
      </c>
      <c r="C11" s="101">
        <v>5858</v>
      </c>
      <c r="D11" s="157">
        <f t="shared" si="0"/>
        <v>0.09613680375488233</v>
      </c>
      <c r="M11" s="35"/>
      <c r="N11" s="35"/>
      <c r="O11" s="35"/>
      <c r="P11" s="35"/>
      <c r="Q11" s="35"/>
      <c r="R11" s="35"/>
      <c r="S11" s="35"/>
      <c r="T11" s="35"/>
    </row>
    <row r="12" spans="1:4" ht="21" customHeight="1">
      <c r="A12" s="99" t="s">
        <v>65</v>
      </c>
      <c r="B12" s="100" t="s">
        <v>3</v>
      </c>
      <c r="C12" s="101">
        <v>5372</v>
      </c>
      <c r="D12" s="157">
        <f t="shared" si="0"/>
        <v>0.08816096103981357</v>
      </c>
    </row>
    <row r="13" spans="1:9" ht="21" customHeight="1" thickBot="1">
      <c r="A13" s="58" t="s">
        <v>66</v>
      </c>
      <c r="B13" s="59" t="s">
        <v>3</v>
      </c>
      <c r="C13" s="102">
        <v>652</v>
      </c>
      <c r="D13" s="158">
        <f t="shared" si="0"/>
        <v>0.010700101749433814</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260">
        <f aca="true" t="shared" si="1" ref="C18:I18">SUM(C19:C24)</f>
        <v>224888</v>
      </c>
      <c r="D18" s="260">
        <f t="shared" si="1"/>
        <v>83862</v>
      </c>
      <c r="E18" s="260">
        <f t="shared" si="1"/>
        <v>14351</v>
      </c>
      <c r="F18" s="260">
        <f t="shared" si="1"/>
        <v>55677</v>
      </c>
      <c r="G18" s="260">
        <f t="shared" si="1"/>
        <v>51325</v>
      </c>
      <c r="H18" s="260">
        <f t="shared" si="1"/>
        <v>19673</v>
      </c>
      <c r="I18" s="106">
        <f t="shared" si="1"/>
        <v>26500</v>
      </c>
      <c r="J18" s="107"/>
      <c r="K18" s="159"/>
      <c r="L18" s="107"/>
      <c r="M18" s="109"/>
      <c r="N18" s="257"/>
      <c r="O18" s="110"/>
      <c r="P18" s="111"/>
      <c r="Q18" s="111"/>
      <c r="R18" s="111"/>
      <c r="S18" s="111"/>
      <c r="T18" s="111"/>
    </row>
    <row r="19" spans="1:20" s="114" customFormat="1" ht="21" customHeight="1">
      <c r="A19" s="58" t="s">
        <v>4</v>
      </c>
      <c r="B19" s="59" t="s">
        <v>9</v>
      </c>
      <c r="C19" s="112">
        <f>SUM(D19:H19)</f>
        <v>56416</v>
      </c>
      <c r="D19" s="112">
        <v>24546</v>
      </c>
      <c r="E19" s="112">
        <v>3482</v>
      </c>
      <c r="F19" s="112">
        <v>13511</v>
      </c>
      <c r="G19" s="112">
        <f>5403+1522+500</f>
        <v>7425</v>
      </c>
      <c r="H19" s="112">
        <v>7452</v>
      </c>
      <c r="I19" s="112">
        <v>11828</v>
      </c>
      <c r="J19" s="107"/>
      <c r="K19" s="107">
        <f>C19+I19-L19</f>
        <v>-10358</v>
      </c>
      <c r="L19" s="107">
        <f>82739-4137</f>
        <v>78602</v>
      </c>
      <c r="M19" s="109">
        <f>L19-C19</f>
        <v>22186</v>
      </c>
      <c r="N19" s="258">
        <f>M19/M22</f>
        <v>0.44632654703468255</v>
      </c>
      <c r="O19" s="79">
        <f>J18*N19</f>
        <v>0</v>
      </c>
      <c r="P19" s="113"/>
      <c r="Q19" s="113"/>
      <c r="R19" s="113"/>
      <c r="S19" s="113"/>
      <c r="T19" s="113"/>
    </row>
    <row r="20" spans="1:20" s="114" customFormat="1" ht="21" customHeight="1">
      <c r="A20" s="58" t="s">
        <v>10</v>
      </c>
      <c r="B20" s="59" t="s">
        <v>9</v>
      </c>
      <c r="C20" s="112">
        <f>SUM(D20:H20)</f>
        <v>52507</v>
      </c>
      <c r="D20" s="112">
        <v>8131</v>
      </c>
      <c r="E20" s="112">
        <v>1058</v>
      </c>
      <c r="F20" s="112">
        <v>4105</v>
      </c>
      <c r="G20" s="112">
        <f>28445+5889+1000</f>
        <v>35334</v>
      </c>
      <c r="H20" s="112">
        <v>3879</v>
      </c>
      <c r="I20" s="112">
        <v>10294</v>
      </c>
      <c r="J20" s="107"/>
      <c r="K20" s="107">
        <f>C20+I20-L20</f>
        <v>-9015</v>
      </c>
      <c r="L20" s="107">
        <f>75596-3780</f>
        <v>71816</v>
      </c>
      <c r="M20" s="109">
        <f>L20-C20</f>
        <v>19309</v>
      </c>
      <c r="N20" s="258">
        <f>M20/M22</f>
        <v>0.3884485394705078</v>
      </c>
      <c r="O20" s="79">
        <f>J18*N20</f>
        <v>0</v>
      </c>
      <c r="P20" s="113"/>
      <c r="Q20" s="113"/>
      <c r="R20" s="113"/>
      <c r="S20" s="113"/>
      <c r="T20" s="113"/>
    </row>
    <row r="21" spans="1:20" s="114" customFormat="1" ht="21" customHeight="1">
      <c r="A21" s="58" t="s">
        <v>5</v>
      </c>
      <c r="B21" s="59" t="s">
        <v>9</v>
      </c>
      <c r="C21" s="112">
        <f>SUM(D21:H21)</f>
        <v>80599</v>
      </c>
      <c r="D21" s="112">
        <v>29475</v>
      </c>
      <c r="E21" s="112">
        <v>7012</v>
      </c>
      <c r="F21" s="112">
        <v>27204</v>
      </c>
      <c r="G21" s="112">
        <f>5448+1218+1900</f>
        <v>8566</v>
      </c>
      <c r="H21" s="112">
        <v>8342</v>
      </c>
      <c r="I21" s="112">
        <v>4378</v>
      </c>
      <c r="J21" s="107"/>
      <c r="K21" s="107">
        <f>C21+I21-L21</f>
        <v>-3835</v>
      </c>
      <c r="L21" s="107">
        <f>93486-4674</f>
        <v>88812</v>
      </c>
      <c r="M21" s="109">
        <f>L21-C21</f>
        <v>8213</v>
      </c>
      <c r="N21" s="258">
        <f>M21/M22</f>
        <v>0.1652249134948097</v>
      </c>
      <c r="O21" s="79">
        <f>J18*N21</f>
        <v>0</v>
      </c>
      <c r="P21" s="115"/>
      <c r="Q21" s="113"/>
      <c r="R21" s="113"/>
      <c r="S21" s="113"/>
      <c r="T21" s="113"/>
    </row>
    <row r="22" spans="1:20" s="108" customFormat="1" ht="16.5" customHeight="1">
      <c r="A22" s="252" t="s">
        <v>120</v>
      </c>
      <c r="B22" s="59" t="s">
        <v>9</v>
      </c>
      <c r="C22" s="120">
        <f>ROUND(C11*3,0)</f>
        <v>17574</v>
      </c>
      <c r="D22" s="112">
        <f>ROUND(C22-E22-F22-G22-H22,0)</f>
        <v>10842</v>
      </c>
      <c r="E22" s="112">
        <v>1380</v>
      </c>
      <c r="F22" s="112">
        <v>5352</v>
      </c>
      <c r="G22" s="112"/>
      <c r="H22" s="112"/>
      <c r="I22" s="112"/>
      <c r="J22" s="107"/>
      <c r="K22" s="107"/>
      <c r="L22" s="107"/>
      <c r="M22" s="109">
        <f>SUM(M19:M21)</f>
        <v>49708</v>
      </c>
      <c r="N22" s="259"/>
      <c r="O22" s="118"/>
      <c r="P22" s="109"/>
      <c r="Q22" s="111"/>
      <c r="R22" s="111"/>
      <c r="S22" s="111"/>
      <c r="T22" s="111"/>
    </row>
    <row r="23" spans="1:20" s="108" customFormat="1" ht="21" customHeight="1">
      <c r="A23" s="119" t="s">
        <v>65</v>
      </c>
      <c r="B23" s="59" t="s">
        <v>9</v>
      </c>
      <c r="C23" s="120">
        <f>ROUND(C12*3,0)</f>
        <v>16116</v>
      </c>
      <c r="D23" s="112">
        <v>9942</v>
      </c>
      <c r="E23" s="120">
        <v>1265</v>
      </c>
      <c r="F23" s="120">
        <v>4909</v>
      </c>
      <c r="G23" s="120"/>
      <c r="H23" s="120"/>
      <c r="I23" s="60"/>
      <c r="J23" s="107"/>
      <c r="K23" s="107"/>
      <c r="L23" s="163"/>
      <c r="M23" s="107"/>
      <c r="N23" s="258"/>
      <c r="O23" s="107"/>
      <c r="P23" s="111"/>
      <c r="Q23" s="111"/>
      <c r="R23" s="111"/>
      <c r="S23" s="111"/>
      <c r="T23" s="111"/>
    </row>
    <row r="24" spans="1:20" s="108" customFormat="1" ht="21" customHeight="1" thickBot="1">
      <c r="A24" s="121" t="s">
        <v>66</v>
      </c>
      <c r="B24" s="122" t="s">
        <v>9</v>
      </c>
      <c r="C24" s="123">
        <f>ROUND(C13*2.57,0)</f>
        <v>1676</v>
      </c>
      <c r="D24" s="124">
        <v>926</v>
      </c>
      <c r="E24" s="123">
        <v>154</v>
      </c>
      <c r="F24" s="123">
        <v>596</v>
      </c>
      <c r="G24" s="123"/>
      <c r="H24" s="123"/>
      <c r="I24" s="125"/>
      <c r="J24" s="107"/>
      <c r="K24" s="107"/>
      <c r="L24" s="107"/>
      <c r="M24" s="126"/>
      <c r="N24" s="126"/>
      <c r="O24" s="126"/>
      <c r="P24" s="109"/>
      <c r="Q24" s="111"/>
      <c r="R24" s="111"/>
      <c r="S24" s="111"/>
      <c r="T24" s="111"/>
    </row>
    <row r="25" spans="1:12" ht="14.25" customHeight="1" thickBot="1">
      <c r="A25" s="103"/>
      <c r="B25" s="23"/>
      <c r="C25" s="261"/>
      <c r="D25" s="168"/>
      <c r="E25" s="168"/>
      <c r="F25" s="262"/>
      <c r="G25" s="168"/>
      <c r="H25" s="168"/>
      <c r="I25" s="26"/>
      <c r="J25" s="6"/>
      <c r="K25" s="27"/>
      <c r="L25" s="6"/>
    </row>
    <row r="26" spans="1:12" ht="44.25" customHeight="1">
      <c r="A26" s="583" t="s">
        <v>0</v>
      </c>
      <c r="B26" s="585" t="s">
        <v>1</v>
      </c>
      <c r="C26" s="593" t="s">
        <v>45</v>
      </c>
      <c r="D26" s="593" t="s">
        <v>67</v>
      </c>
      <c r="E26" s="593" t="s">
        <v>26</v>
      </c>
      <c r="F26" s="593" t="s">
        <v>40</v>
      </c>
      <c r="G26" s="593" t="s">
        <v>27</v>
      </c>
      <c r="H26" s="593" t="s">
        <v>28</v>
      </c>
      <c r="I26" s="574" t="s">
        <v>37</v>
      </c>
      <c r="J26" s="576" t="s">
        <v>29</v>
      </c>
      <c r="K26" s="6"/>
      <c r="L26" s="6"/>
    </row>
    <row r="27" spans="1:12" ht="87.75" customHeight="1" thickBot="1">
      <c r="A27" s="584"/>
      <c r="B27" s="586"/>
      <c r="C27" s="594"/>
      <c r="D27" s="594"/>
      <c r="E27" s="594"/>
      <c r="F27" s="594"/>
      <c r="G27" s="594"/>
      <c r="H27" s="594"/>
      <c r="I27" s="575"/>
      <c r="J27" s="577"/>
      <c r="K27" s="6"/>
      <c r="L27" s="6"/>
    </row>
    <row r="28" spans="1:10" ht="16.5" customHeight="1" thickBot="1">
      <c r="A28" s="74">
        <v>1</v>
      </c>
      <c r="B28" s="64">
        <v>2</v>
      </c>
      <c r="C28" s="263">
        <v>3</v>
      </c>
      <c r="D28" s="263">
        <v>4</v>
      </c>
      <c r="E28" s="263">
        <v>5</v>
      </c>
      <c r="F28" s="263">
        <v>6</v>
      </c>
      <c r="G28" s="263">
        <v>7</v>
      </c>
      <c r="H28" s="263">
        <v>8</v>
      </c>
      <c r="I28" s="75">
        <v>9</v>
      </c>
      <c r="J28" s="75">
        <v>9</v>
      </c>
    </row>
    <row r="29" spans="1:12" ht="16.5" customHeight="1">
      <c r="A29" s="11" t="s">
        <v>34</v>
      </c>
      <c r="B29" s="76"/>
      <c r="C29" s="264"/>
      <c r="D29" s="264"/>
      <c r="E29" s="264"/>
      <c r="F29" s="264"/>
      <c r="G29" s="264"/>
      <c r="H29" s="264"/>
      <c r="I29" s="77"/>
      <c r="J29" s="77"/>
      <c r="L29" s="164"/>
    </row>
    <row r="30" spans="1:20" s="6" customFormat="1" ht="12" customHeight="1">
      <c r="A30" s="30" t="s">
        <v>35</v>
      </c>
      <c r="B30" s="31" t="s">
        <v>11</v>
      </c>
      <c r="C30" s="33">
        <f>D30+J30</f>
        <v>4.609891796848583</v>
      </c>
      <c r="D30" s="81">
        <f>E30+F30+G30+H30+I30</f>
        <v>3.81</v>
      </c>
      <c r="E30" s="81">
        <f aca="true" t="shared" si="2" ref="E30:E35">ROUND(D19/C8,2)</f>
        <v>1.66</v>
      </c>
      <c r="F30" s="81">
        <f aca="true" t="shared" si="3" ref="F30:F35">ROUND(E19/C8,2)</f>
        <v>0.24</v>
      </c>
      <c r="G30" s="81">
        <f aca="true" t="shared" si="4" ref="G30:G35">ROUND(F19/C8,2)</f>
        <v>0.91</v>
      </c>
      <c r="H30" s="81">
        <f>ROUND(G19/C8,2)</f>
        <v>0.5</v>
      </c>
      <c r="I30" s="81">
        <f>ROUND(H19/C8,2)</f>
        <v>0.5</v>
      </c>
      <c r="J30" s="81">
        <f>I19/C8</f>
        <v>0.7998917968485832</v>
      </c>
      <c r="K30" s="86"/>
      <c r="L30" s="86"/>
      <c r="M30" s="89"/>
      <c r="N30" s="90"/>
      <c r="O30" s="35"/>
      <c r="P30" s="35"/>
      <c r="Q30" s="88"/>
      <c r="R30" s="35"/>
      <c r="S30" s="35"/>
      <c r="T30" s="35"/>
    </row>
    <row r="31" spans="1:20" s="6" customFormat="1" ht="12" customHeight="1">
      <c r="A31" s="13" t="s">
        <v>36</v>
      </c>
      <c r="B31" s="4" t="s">
        <v>11</v>
      </c>
      <c r="C31" s="33">
        <f>D31+J31</f>
        <v>13.981629563668744</v>
      </c>
      <c r="D31" s="81">
        <f>E31+F31+G31+H31+I31</f>
        <v>11.69</v>
      </c>
      <c r="E31" s="81">
        <f t="shared" si="2"/>
        <v>1.81</v>
      </c>
      <c r="F31" s="81">
        <f t="shared" si="3"/>
        <v>0.24</v>
      </c>
      <c r="G31" s="81">
        <f t="shared" si="4"/>
        <v>0.91</v>
      </c>
      <c r="H31" s="81">
        <f>ROUND(G20/C9,2)</f>
        <v>7.87</v>
      </c>
      <c r="I31" s="81">
        <f>ROUND(H20/C9,2)</f>
        <v>0.86</v>
      </c>
      <c r="J31" s="81">
        <f>I20/C9</f>
        <v>2.2916295636687445</v>
      </c>
      <c r="K31" s="86"/>
      <c r="L31" s="27"/>
      <c r="M31" s="89"/>
      <c r="N31" s="35"/>
      <c r="O31" s="35"/>
      <c r="P31" s="35"/>
      <c r="Q31" s="90"/>
      <c r="R31" s="35"/>
      <c r="S31" s="35"/>
      <c r="T31" s="35"/>
    </row>
    <row r="32" spans="1:20" s="6" customFormat="1" ht="12" customHeight="1">
      <c r="A32" s="13" t="str">
        <f>A21</f>
        <v>"Столичен автотранспорт" ЕАД</v>
      </c>
      <c r="B32" s="4" t="s">
        <v>11</v>
      </c>
      <c r="C32" s="33">
        <f>D32+J32</f>
        <v>2.857045981258187</v>
      </c>
      <c r="D32" s="81">
        <f>E32+F32+G32+H32+I32</f>
        <v>2.71</v>
      </c>
      <c r="E32" s="81">
        <f t="shared" si="2"/>
        <v>0.99</v>
      </c>
      <c r="F32" s="81">
        <f t="shared" si="3"/>
        <v>0.24</v>
      </c>
      <c r="G32" s="81">
        <f t="shared" si="4"/>
        <v>0.91</v>
      </c>
      <c r="H32" s="81">
        <f>ROUND(G21/C10,2)</f>
        <v>0.29</v>
      </c>
      <c r="I32" s="81">
        <f>ROUND(H21/C10,2)</f>
        <v>0.28</v>
      </c>
      <c r="J32" s="81">
        <f>I21/C10</f>
        <v>0.14704598125818694</v>
      </c>
      <c r="K32" s="86"/>
      <c r="L32" s="27"/>
      <c r="M32" s="89"/>
      <c r="N32" s="35"/>
      <c r="O32" s="35"/>
      <c r="P32" s="35"/>
      <c r="Q32" s="90"/>
      <c r="R32" s="35"/>
      <c r="S32" s="35"/>
      <c r="T32" s="35"/>
    </row>
    <row r="33" spans="1:20" s="6" customFormat="1" ht="12" customHeight="1">
      <c r="A33" s="13" t="str">
        <f>A22</f>
        <v>"MTK Гроуп" ООД</v>
      </c>
      <c r="B33" s="4" t="s">
        <v>11</v>
      </c>
      <c r="C33" s="33">
        <v>3</v>
      </c>
      <c r="D33" s="81">
        <v>3</v>
      </c>
      <c r="E33" s="81">
        <f t="shared" si="2"/>
        <v>1.85</v>
      </c>
      <c r="F33" s="81">
        <f t="shared" si="3"/>
        <v>0.24</v>
      </c>
      <c r="G33" s="81">
        <f t="shared" si="4"/>
        <v>0.91</v>
      </c>
      <c r="H33" s="265"/>
      <c r="I33" s="14"/>
      <c r="J33" s="14"/>
      <c r="M33" s="89"/>
      <c r="N33" s="35"/>
      <c r="O33" s="35"/>
      <c r="P33" s="35"/>
      <c r="Q33" s="35"/>
      <c r="R33" s="35"/>
      <c r="S33" s="35"/>
      <c r="T33" s="35"/>
    </row>
    <row r="34" spans="1:13" ht="12" customHeight="1">
      <c r="A34" s="30" t="s">
        <v>65</v>
      </c>
      <c r="B34" s="31" t="s">
        <v>11</v>
      </c>
      <c r="C34" s="266">
        <v>3</v>
      </c>
      <c r="D34" s="215">
        <v>3</v>
      </c>
      <c r="E34" s="81">
        <f t="shared" si="2"/>
        <v>1.85</v>
      </c>
      <c r="F34" s="81">
        <f t="shared" si="3"/>
        <v>0.24</v>
      </c>
      <c r="G34" s="81">
        <f t="shared" si="4"/>
        <v>0.91</v>
      </c>
      <c r="H34" s="267"/>
      <c r="I34" s="32"/>
      <c r="J34" s="32"/>
      <c r="M34" s="89"/>
    </row>
    <row r="35" spans="1:13" ht="12" customHeight="1" thickBot="1">
      <c r="A35" s="127" t="s">
        <v>6</v>
      </c>
      <c r="B35" s="10" t="s">
        <v>11</v>
      </c>
      <c r="C35" s="268">
        <v>2.57</v>
      </c>
      <c r="D35" s="82">
        <v>2.57</v>
      </c>
      <c r="E35" s="82">
        <f t="shared" si="2"/>
        <v>1.42</v>
      </c>
      <c r="F35" s="82">
        <f t="shared" si="3"/>
        <v>0.24</v>
      </c>
      <c r="G35" s="82">
        <f t="shared" si="4"/>
        <v>0.91</v>
      </c>
      <c r="H35" s="269"/>
      <c r="I35" s="34"/>
      <c r="J35" s="34"/>
      <c r="M35" s="89"/>
    </row>
    <row r="36" spans="1:8" ht="14.25" customHeight="1" thickBot="1">
      <c r="A36" s="15"/>
      <c r="B36" s="16"/>
      <c r="C36" s="270"/>
      <c r="D36" s="168"/>
      <c r="E36" s="168"/>
      <c r="F36" s="168"/>
      <c r="G36" s="168"/>
      <c r="H36" s="168"/>
    </row>
    <row r="37" spans="1:8" ht="19.5" customHeight="1">
      <c r="A37" s="17" t="s">
        <v>12</v>
      </c>
      <c r="B37" s="18" t="s">
        <v>9</v>
      </c>
      <c r="C37" s="271">
        <f>C38+C40+C43+C45</f>
        <v>224888</v>
      </c>
      <c r="D37" s="272"/>
      <c r="E37" s="168" t="s">
        <v>17</v>
      </c>
      <c r="F37" s="273"/>
      <c r="G37" s="168"/>
      <c r="H37" s="168"/>
    </row>
    <row r="38" spans="1:9" ht="16.5" customHeight="1">
      <c r="A38" s="58" t="s">
        <v>18</v>
      </c>
      <c r="B38" s="59" t="s">
        <v>9</v>
      </c>
      <c r="C38" s="120">
        <f>C39</f>
        <v>83862</v>
      </c>
      <c r="D38" s="274"/>
      <c r="E38" s="168"/>
      <c r="F38" s="168"/>
      <c r="G38" s="168"/>
      <c r="H38" s="168"/>
      <c r="I38" s="57"/>
    </row>
    <row r="39" spans="1:9" ht="12.75" customHeight="1">
      <c r="A39" s="8" t="s">
        <v>19</v>
      </c>
      <c r="B39" s="4" t="s">
        <v>9</v>
      </c>
      <c r="C39" s="275">
        <v>83862</v>
      </c>
      <c r="D39" s="183"/>
      <c r="E39" s="168"/>
      <c r="F39" s="168"/>
      <c r="G39" s="168"/>
      <c r="H39" s="168"/>
      <c r="I39" s="57"/>
    </row>
    <row r="40" spans="1:9" ht="12.75" customHeight="1">
      <c r="A40" s="3" t="s">
        <v>13</v>
      </c>
      <c r="B40" s="4" t="s">
        <v>9</v>
      </c>
      <c r="C40" s="5">
        <f>C41</f>
        <v>55677</v>
      </c>
      <c r="D40" s="25"/>
      <c r="I40" s="57"/>
    </row>
    <row r="41" spans="1:9" ht="12" customHeight="1">
      <c r="A41" s="9" t="s">
        <v>31</v>
      </c>
      <c r="B41" s="4" t="s">
        <v>9</v>
      </c>
      <c r="C41" s="19">
        <v>55677</v>
      </c>
      <c r="D41" s="80"/>
      <c r="I41" s="57"/>
    </row>
    <row r="42" spans="1:9" ht="12" customHeight="1" hidden="1">
      <c r="A42" s="9" t="s">
        <v>14</v>
      </c>
      <c r="B42" s="4" t="s">
        <v>9</v>
      </c>
      <c r="C42" s="19"/>
      <c r="D42" s="80"/>
      <c r="I42" s="57"/>
    </row>
    <row r="43" spans="1:9" ht="13.5" customHeight="1">
      <c r="A43" s="3" t="s">
        <v>15</v>
      </c>
      <c r="B43" s="4" t="s">
        <v>9</v>
      </c>
      <c r="C43" s="5">
        <f>C44</f>
        <v>14351</v>
      </c>
      <c r="D43" s="25"/>
      <c r="I43" s="57"/>
    </row>
    <row r="44" spans="1:9" ht="12" customHeight="1">
      <c r="A44" s="8" t="s">
        <v>42</v>
      </c>
      <c r="B44" s="4" t="s">
        <v>9</v>
      </c>
      <c r="C44" s="12">
        <v>14351</v>
      </c>
      <c r="D44" s="24"/>
      <c r="F44" s="254"/>
      <c r="I44" s="57"/>
    </row>
    <row r="45" spans="1:9" ht="15" customHeight="1">
      <c r="A45" s="3" t="s">
        <v>16</v>
      </c>
      <c r="B45" s="4" t="s">
        <v>9</v>
      </c>
      <c r="C45" s="5">
        <f>C46+C47+C48</f>
        <v>70998</v>
      </c>
      <c r="D45" s="25"/>
      <c r="H45" s="254"/>
      <c r="I45" s="57"/>
    </row>
    <row r="46" spans="1:20" s="6" customFormat="1" ht="12" customHeight="1">
      <c r="A46" s="20" t="s">
        <v>4</v>
      </c>
      <c r="B46" s="4" t="s">
        <v>9</v>
      </c>
      <c r="C46" s="12">
        <f>+G19+H19</f>
        <v>14877</v>
      </c>
      <c r="D46" s="24"/>
      <c r="F46" s="37"/>
      <c r="M46" s="35"/>
      <c r="N46" s="35"/>
      <c r="O46" s="35"/>
      <c r="P46" s="35"/>
      <c r="Q46" s="35"/>
      <c r="R46" s="35"/>
      <c r="S46" s="35"/>
      <c r="T46" s="35"/>
    </row>
    <row r="47" spans="1:20" s="6" customFormat="1" ht="12" customHeight="1">
      <c r="A47" s="20" t="s">
        <v>5</v>
      </c>
      <c r="B47" s="4" t="s">
        <v>9</v>
      </c>
      <c r="C47" s="12">
        <f>+G21+H21</f>
        <v>16908</v>
      </c>
      <c r="D47" s="24"/>
      <c r="F47" s="255"/>
      <c r="M47" s="35"/>
      <c r="N47" s="35"/>
      <c r="O47" s="35"/>
      <c r="P47" s="35"/>
      <c r="Q47" s="35"/>
      <c r="R47" s="35"/>
      <c r="S47" s="35"/>
      <c r="T47" s="35"/>
    </row>
    <row r="48" spans="1:20" s="6" customFormat="1" ht="12" customHeight="1" thickBot="1">
      <c r="A48" s="21" t="s">
        <v>10</v>
      </c>
      <c r="B48" s="10" t="s">
        <v>9</v>
      </c>
      <c r="C48" s="40">
        <f>+G20+H20</f>
        <v>39213</v>
      </c>
      <c r="D48" s="24"/>
      <c r="G48" s="38"/>
      <c r="H48" s="256"/>
      <c r="M48" s="35"/>
      <c r="N48" s="35"/>
      <c r="O48" s="35"/>
      <c r="P48" s="35"/>
      <c r="Q48" s="35"/>
      <c r="R48" s="35"/>
      <c r="S48" s="35"/>
      <c r="T48" s="35"/>
    </row>
    <row r="49" spans="1:4" s="26" customFormat="1" ht="11.25" customHeight="1">
      <c r="A49" s="22"/>
      <c r="B49" s="23"/>
      <c r="C49" s="24"/>
      <c r="D49" s="24"/>
    </row>
    <row r="50" spans="1:8" s="26" customFormat="1" ht="11.25" customHeight="1" thickBot="1">
      <c r="A50" s="22"/>
      <c r="B50" s="23"/>
      <c r="C50" s="24"/>
      <c r="D50" s="24"/>
      <c r="H50" s="50"/>
    </row>
    <row r="51" spans="1:20" s="168" customFormat="1" ht="21.75" customHeight="1" thickBot="1">
      <c r="A51" s="196" t="s">
        <v>80</v>
      </c>
      <c r="B51" s="198" t="s">
        <v>9</v>
      </c>
      <c r="C51" s="197">
        <f>C18-C37</f>
        <v>0</v>
      </c>
      <c r="K51" s="169"/>
      <c r="M51" s="170"/>
      <c r="N51" s="170"/>
      <c r="O51" s="170"/>
      <c r="P51" s="170"/>
      <c r="Q51" s="170"/>
      <c r="R51" s="170"/>
      <c r="S51" s="170"/>
      <c r="T51" s="170"/>
    </row>
    <row r="52" spans="1:4" s="170" customFormat="1" ht="11.25" customHeight="1">
      <c r="A52" s="181"/>
      <c r="B52" s="182"/>
      <c r="C52" s="183"/>
      <c r="D52" s="183"/>
    </row>
    <row r="53" spans="1:4" s="170" customFormat="1" ht="11.25" customHeight="1">
      <c r="A53" s="181"/>
      <c r="B53" s="182"/>
      <c r="C53" s="183"/>
      <c r="D53" s="183"/>
    </row>
    <row r="54" spans="1:208" s="170" customFormat="1" ht="15" customHeight="1" thickBot="1">
      <c r="A54" s="43"/>
      <c r="B54" s="43"/>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row>
    <row r="55" spans="1:20" s="168" customFormat="1" ht="38.25" customHeight="1" thickBot="1">
      <c r="A55" s="184" t="s">
        <v>54</v>
      </c>
      <c r="B55" s="185" t="s">
        <v>9</v>
      </c>
      <c r="C55" s="186">
        <f>C56+C57</f>
        <v>26500</v>
      </c>
      <c r="E55" s="187" t="s">
        <v>50</v>
      </c>
      <c r="G55" s="188"/>
      <c r="H55" s="188"/>
      <c r="M55" s="170"/>
      <c r="N55" s="170"/>
      <c r="O55" s="170"/>
      <c r="P55" s="170"/>
      <c r="Q55" s="170"/>
      <c r="R55" s="170"/>
      <c r="S55" s="170"/>
      <c r="T55" s="170"/>
    </row>
    <row r="56" spans="1:208" s="170" customFormat="1" ht="14.25" customHeight="1">
      <c r="A56" s="189" t="s">
        <v>68</v>
      </c>
      <c r="B56" s="190" t="s">
        <v>9</v>
      </c>
      <c r="C56" s="191">
        <v>8500</v>
      </c>
      <c r="D56" s="44"/>
      <c r="E56" s="44"/>
      <c r="F56" s="44" t="s">
        <v>51</v>
      </c>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row>
    <row r="57" spans="1:208" s="170" customFormat="1" ht="14.25" customHeight="1" thickBot="1">
      <c r="A57" s="192" t="s">
        <v>30</v>
      </c>
      <c r="B57" s="193" t="s">
        <v>9</v>
      </c>
      <c r="C57" s="194">
        <v>18000</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row>
    <row r="58" spans="1:208" s="170" customFormat="1" ht="14.25" customHeight="1">
      <c r="A58" s="43"/>
      <c r="B58" s="43"/>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row>
    <row r="59" spans="1:208" s="26" customFormat="1" ht="16.5" customHeight="1">
      <c r="A59" s="43"/>
      <c r="B59" s="43"/>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row>
    <row r="60" spans="1:208" s="26" customFormat="1" ht="66.75" customHeight="1">
      <c r="A60" s="596"/>
      <c r="B60" s="596"/>
      <c r="C60" s="596"/>
      <c r="D60" s="596"/>
      <c r="E60" s="596"/>
      <c r="F60" s="596"/>
      <c r="G60" s="596"/>
      <c r="H60" s="596"/>
      <c r="I60" s="596"/>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row>
    <row r="61" spans="1:208" s="26" customFormat="1" ht="18" customHeight="1">
      <c r="A61" s="572"/>
      <c r="B61" s="57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3" s="26" customFormat="1" ht="12.75">
      <c r="A62" s="46"/>
      <c r="B62" s="45"/>
      <c r="C62" s="50"/>
    </row>
    <row r="63" spans="1:3" s="26" customFormat="1" ht="15">
      <c r="A63" s="43"/>
      <c r="B63" s="43"/>
      <c r="C63" s="50"/>
    </row>
    <row r="64" spans="1:3" s="26" customFormat="1" ht="15">
      <c r="A64" s="43"/>
      <c r="B64" s="44"/>
      <c r="C64" s="87"/>
    </row>
    <row r="65" spans="1:3" s="26" customFormat="1" ht="15">
      <c r="A65" s="48"/>
      <c r="B65" s="49"/>
      <c r="C65" s="149"/>
    </row>
    <row r="66" spans="1:3" s="26" customFormat="1" ht="15">
      <c r="A66" s="48"/>
      <c r="B66" s="49"/>
      <c r="C66" s="150"/>
    </row>
    <row r="67" spans="1:2" s="26" customFormat="1" ht="15">
      <c r="A67" s="43"/>
      <c r="B67" s="43"/>
    </row>
    <row r="68" spans="1:3" s="26" customFormat="1" ht="14.25">
      <c r="A68" s="573"/>
      <c r="B68" s="573"/>
      <c r="C68" s="87"/>
    </row>
    <row r="69" spans="1:3" s="26" customFormat="1" ht="12.75">
      <c r="A69" s="151"/>
      <c r="C69" s="152"/>
    </row>
    <row r="70" s="26" customFormat="1" ht="12.75"/>
    <row r="71" s="26" customFormat="1" ht="12.75"/>
  </sheetData>
  <sheetProtection/>
  <mergeCells count="17">
    <mergeCell ref="A60:I60"/>
    <mergeCell ref="A61:B61"/>
    <mergeCell ref="A68:B68"/>
    <mergeCell ref="E26:E27"/>
    <mergeCell ref="F26:F27"/>
    <mergeCell ref="G26:G27"/>
    <mergeCell ref="H26:H27"/>
    <mergeCell ref="I26:I27"/>
    <mergeCell ref="J26:J27"/>
    <mergeCell ref="A1:D1"/>
    <mergeCell ref="A2:D2"/>
    <mergeCell ref="A4:D4"/>
    <mergeCell ref="C6:D6"/>
    <mergeCell ref="A26:A27"/>
    <mergeCell ref="B26:B27"/>
    <mergeCell ref="C26:C27"/>
    <mergeCell ref="D26:D27"/>
  </mergeCells>
  <printOptions/>
  <pageMargins left="0" right="0" top="0.7480314960629921" bottom="0.7480314960629921" header="0.31496062992125984" footer="0.31496062992125984"/>
  <pageSetup horizontalDpi="600" verticalDpi="600" orientation="portrait" paperSize="9" scale="55" r:id="rId1"/>
</worksheet>
</file>

<file path=xl/worksheets/sheet21.xml><?xml version="1.0" encoding="utf-8"?>
<worksheet xmlns="http://schemas.openxmlformats.org/spreadsheetml/2006/main" xmlns:r="http://schemas.openxmlformats.org/officeDocument/2006/relationships">
  <sheetPr>
    <pageSetUpPr fitToPage="1"/>
  </sheetPr>
  <dimension ref="A1:GZ83"/>
  <sheetViews>
    <sheetView zoomScalePageLayoutView="0" workbookViewId="0" topLeftCell="A10">
      <selection activeCell="G21" sqref="G21:H21"/>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row>
    <row r="2" spans="1:4" ht="12.75" customHeight="1">
      <c r="A2" s="579" t="s">
        <v>92</v>
      </c>
      <c r="B2" s="579"/>
      <c r="C2" s="579"/>
      <c r="D2" s="579"/>
    </row>
    <row r="3" spans="1:4" ht="12.75" customHeight="1">
      <c r="A3" s="213"/>
      <c r="B3" s="213"/>
      <c r="C3" s="213"/>
      <c r="D3" s="213"/>
    </row>
    <row r="4" spans="1:4" ht="12.75" customHeight="1">
      <c r="A4" s="592" t="s">
        <v>94</v>
      </c>
      <c r="B4" s="592"/>
      <c r="C4" s="592"/>
      <c r="D4" s="592"/>
    </row>
    <row r="5" spans="1:4" ht="13.5" customHeight="1" thickBot="1">
      <c r="A5" s="29"/>
      <c r="B5" s="29"/>
      <c r="C5" s="29"/>
      <c r="D5" s="29"/>
    </row>
    <row r="6" spans="1:12" ht="37.5" customHeight="1" thickBot="1">
      <c r="A6" s="63" t="s">
        <v>0</v>
      </c>
      <c r="B6" s="64" t="s">
        <v>1</v>
      </c>
      <c r="C6" s="581" t="s">
        <v>75</v>
      </c>
      <c r="D6" s="582"/>
      <c r="F6" s="54"/>
      <c r="J6" s="54"/>
      <c r="K6" s="54"/>
      <c r="L6" s="54"/>
    </row>
    <row r="7" spans="1:4" ht="19.5" customHeight="1">
      <c r="A7" s="95" t="s">
        <v>2</v>
      </c>
      <c r="B7" s="96" t="s">
        <v>3</v>
      </c>
      <c r="C7" s="154">
        <f>C8+C9+C10+C13+C14</f>
        <v>59373</v>
      </c>
      <c r="D7" s="155">
        <f>D8+D9+D10+D13+D14</f>
        <v>1.0000000000000002</v>
      </c>
    </row>
    <row r="8" spans="1:20" s="6" customFormat="1" ht="21" customHeight="1">
      <c r="A8" s="58" t="s">
        <v>4</v>
      </c>
      <c r="B8" s="59" t="s">
        <v>3</v>
      </c>
      <c r="C8" s="60">
        <v>14260</v>
      </c>
      <c r="D8" s="157">
        <f>14260/59373</f>
        <v>0.2401765112087986</v>
      </c>
      <c r="F8" s="55"/>
      <c r="J8" s="55"/>
      <c r="K8" s="55"/>
      <c r="L8" s="55"/>
      <c r="M8" s="35"/>
      <c r="N8" s="35"/>
      <c r="O8" s="35"/>
      <c r="P8" s="35"/>
      <c r="Q8" s="35"/>
      <c r="R8" s="35"/>
      <c r="S8" s="35"/>
      <c r="T8" s="35"/>
    </row>
    <row r="9" spans="1:20" s="6" customFormat="1" ht="21" customHeight="1">
      <c r="A9" s="58" t="s">
        <v>8</v>
      </c>
      <c r="B9" s="59" t="s">
        <v>3</v>
      </c>
      <c r="C9" s="60">
        <v>4517</v>
      </c>
      <c r="D9" s="157">
        <f>4517/59373</f>
        <v>0.07607835211291328</v>
      </c>
      <c r="E9" s="35"/>
      <c r="M9" s="35"/>
      <c r="N9" s="35"/>
      <c r="O9" s="35"/>
      <c r="P9" s="35"/>
      <c r="Q9" s="35"/>
      <c r="R9" s="35"/>
      <c r="S9" s="35"/>
      <c r="T9" s="35"/>
    </row>
    <row r="10" spans="1:20" s="6" customFormat="1" ht="21" customHeight="1">
      <c r="A10" s="58" t="s">
        <v>21</v>
      </c>
      <c r="B10" s="59" t="s">
        <v>3</v>
      </c>
      <c r="C10" s="60">
        <f>C11+C12</f>
        <v>34825</v>
      </c>
      <c r="D10" s="157">
        <f>D11+D12</f>
        <v>0.5865460731308845</v>
      </c>
      <c r="M10" s="35"/>
      <c r="N10" s="35"/>
      <c r="O10" s="35"/>
      <c r="P10" s="35"/>
      <c r="Q10" s="35"/>
      <c r="R10" s="35"/>
      <c r="S10" s="35"/>
      <c r="T10" s="35"/>
    </row>
    <row r="11" spans="1:20" s="6" customFormat="1" ht="21" customHeight="1">
      <c r="A11" s="97" t="s">
        <v>48</v>
      </c>
      <c r="B11" s="59" t="s">
        <v>3</v>
      </c>
      <c r="C11" s="85">
        <f>29246+1415+1413+442</f>
        <v>32516</v>
      </c>
      <c r="D11" s="156">
        <f>32516/59373</f>
        <v>0.5476563421083658</v>
      </c>
      <c r="E11" s="27"/>
      <c r="M11" s="35"/>
      <c r="N11" s="35"/>
      <c r="O11" s="35"/>
      <c r="P11" s="35"/>
      <c r="Q11" s="35"/>
      <c r="R11" s="35"/>
      <c r="S11" s="35"/>
      <c r="T11" s="35"/>
    </row>
    <row r="12" spans="1:20" s="6" customFormat="1" ht="21" customHeight="1">
      <c r="A12" s="97" t="s">
        <v>93</v>
      </c>
      <c r="B12" s="59" t="s">
        <v>3</v>
      </c>
      <c r="C12" s="98">
        <f>5579-1415-1413-442</f>
        <v>2309</v>
      </c>
      <c r="D12" s="156">
        <f>2309/59373</f>
        <v>0.03888973102251865</v>
      </c>
      <c r="M12" s="35"/>
      <c r="N12" s="35"/>
      <c r="O12" s="35"/>
      <c r="P12" s="35"/>
      <c r="Q12" s="35"/>
      <c r="R12" s="35"/>
      <c r="S12" s="35"/>
      <c r="T12" s="35"/>
    </row>
    <row r="13" spans="1:4" ht="21" customHeight="1">
      <c r="A13" s="99" t="s">
        <v>65</v>
      </c>
      <c r="B13" s="100" t="s">
        <v>3</v>
      </c>
      <c r="C13" s="101">
        <v>5117</v>
      </c>
      <c r="D13" s="157">
        <f>5117/59373</f>
        <v>0.08618395567008573</v>
      </c>
    </row>
    <row r="14" spans="1:9" ht="21" customHeight="1" thickBot="1">
      <c r="A14" s="58" t="s">
        <v>66</v>
      </c>
      <c r="B14" s="59" t="s">
        <v>3</v>
      </c>
      <c r="C14" s="102">
        <v>654</v>
      </c>
      <c r="D14" s="158">
        <f>654/59373</f>
        <v>0.011015107877317973</v>
      </c>
      <c r="I14" s="26"/>
    </row>
    <row r="15" spans="1:15" ht="12" customHeight="1" hidden="1">
      <c r="A15" s="8" t="s">
        <v>7</v>
      </c>
      <c r="B15" s="4" t="s">
        <v>3</v>
      </c>
      <c r="C15" s="7">
        <v>663</v>
      </c>
      <c r="I15" s="39"/>
      <c r="N15" s="39"/>
      <c r="O15" s="39"/>
    </row>
    <row r="16" spans="1:9" ht="15.75" customHeight="1" thickBot="1">
      <c r="A16" s="65"/>
      <c r="B16" s="66"/>
      <c r="C16" s="67"/>
      <c r="F16" s="61"/>
      <c r="G16" s="61"/>
      <c r="H16" s="61"/>
      <c r="I16" s="56"/>
    </row>
    <row r="17" spans="1:9" ht="100.5" customHeight="1" thickBot="1">
      <c r="A17" s="63" t="s">
        <v>0</v>
      </c>
      <c r="B17" s="64" t="s">
        <v>1</v>
      </c>
      <c r="C17" s="75" t="s">
        <v>24</v>
      </c>
      <c r="D17" s="75" t="s">
        <v>25</v>
      </c>
      <c r="E17" s="83" t="s">
        <v>41</v>
      </c>
      <c r="F17" s="75" t="s">
        <v>22</v>
      </c>
      <c r="G17" s="68" t="s">
        <v>38</v>
      </c>
      <c r="H17" s="68" t="s">
        <v>39</v>
      </c>
      <c r="I17" s="75" t="s">
        <v>23</v>
      </c>
    </row>
    <row r="18" spans="1:9" ht="16.5" customHeight="1" thickBot="1">
      <c r="A18" s="70">
        <v>1</v>
      </c>
      <c r="B18" s="69">
        <v>2</v>
      </c>
      <c r="C18" s="68">
        <v>3</v>
      </c>
      <c r="D18" s="68">
        <v>4</v>
      </c>
      <c r="E18" s="68">
        <v>5</v>
      </c>
      <c r="F18" s="68">
        <v>6</v>
      </c>
      <c r="G18" s="68">
        <v>7</v>
      </c>
      <c r="H18" s="68">
        <v>8</v>
      </c>
      <c r="I18" s="68">
        <v>9</v>
      </c>
    </row>
    <row r="19" spans="1:20" s="108" customFormat="1" ht="19.5" customHeight="1">
      <c r="A19" s="105" t="s">
        <v>33</v>
      </c>
      <c r="B19" s="96" t="s">
        <v>9</v>
      </c>
      <c r="C19" s="106">
        <f aca="true" t="shared" si="0" ref="C19:I19">C20+C21+C22+C25+C26</f>
        <v>217962</v>
      </c>
      <c r="D19" s="106">
        <f t="shared" si="0"/>
        <v>75866</v>
      </c>
      <c r="E19" s="106">
        <f t="shared" si="0"/>
        <v>13924</v>
      </c>
      <c r="F19" s="106">
        <f t="shared" si="0"/>
        <v>55652</v>
      </c>
      <c r="G19" s="106">
        <f t="shared" si="0"/>
        <v>51822</v>
      </c>
      <c r="H19" s="106">
        <f t="shared" si="0"/>
        <v>20698</v>
      </c>
      <c r="I19" s="106">
        <f t="shared" si="0"/>
        <v>26500.03356049891</v>
      </c>
      <c r="J19" s="107"/>
      <c r="K19" s="159"/>
      <c r="L19" s="107"/>
      <c r="M19" s="109"/>
      <c r="N19" s="110"/>
      <c r="O19" s="110"/>
      <c r="P19" s="111"/>
      <c r="Q19" s="111"/>
      <c r="R19" s="111"/>
      <c r="S19" s="111"/>
      <c r="T19" s="111"/>
    </row>
    <row r="20" spans="1:20" s="114" customFormat="1" ht="21" customHeight="1">
      <c r="A20" s="58" t="s">
        <v>4</v>
      </c>
      <c r="B20" s="59" t="s">
        <v>9</v>
      </c>
      <c r="C20" s="112">
        <f>54576+2</f>
        <v>54578</v>
      </c>
      <c r="D20" s="112">
        <f>ROUND(C20-E20-F20-G20-H20,0)</f>
        <v>23258</v>
      </c>
      <c r="E20" s="112">
        <v>3344</v>
      </c>
      <c r="F20" s="112">
        <v>13364</v>
      </c>
      <c r="G20" s="112">
        <f>5842+1286</f>
        <v>7128</v>
      </c>
      <c r="H20" s="112">
        <v>7484</v>
      </c>
      <c r="I20" s="112">
        <f>26500*(58575/171094)+1350+1500-300</f>
        <v>11622.425099652823</v>
      </c>
      <c r="J20" s="107"/>
      <c r="K20" s="107"/>
      <c r="L20" s="107"/>
      <c r="M20" s="109"/>
      <c r="N20" s="79"/>
      <c r="O20" s="79"/>
      <c r="P20" s="113"/>
      <c r="Q20" s="113"/>
      <c r="R20" s="113"/>
      <c r="S20" s="113"/>
      <c r="T20" s="113"/>
    </row>
    <row r="21" spans="1:20" s="114" customFormat="1" ht="21" customHeight="1">
      <c r="A21" s="58" t="s">
        <v>10</v>
      </c>
      <c r="B21" s="59" t="s">
        <v>9</v>
      </c>
      <c r="C21" s="112">
        <f>49350+1857-142-142-315</f>
        <v>50608</v>
      </c>
      <c r="D21" s="112">
        <f>ROUND(C21-E21-F21-G21-H21,0)</f>
        <v>6155</v>
      </c>
      <c r="E21" s="112">
        <v>1060</v>
      </c>
      <c r="F21" s="112">
        <v>4237</v>
      </c>
      <c r="G21" s="223">
        <f>30123+5154</f>
        <v>35277</v>
      </c>
      <c r="H21" s="112">
        <v>3879</v>
      </c>
      <c r="I21" s="112">
        <f>26500*(47355/171094)-3281-1000+300</f>
        <v>3353.608460846085</v>
      </c>
      <c r="J21" s="107"/>
      <c r="K21" s="107"/>
      <c r="L21" s="107"/>
      <c r="M21" s="109"/>
      <c r="N21" s="79"/>
      <c r="O21" s="79"/>
      <c r="P21" s="113"/>
      <c r="Q21" s="113"/>
      <c r="R21" s="113"/>
      <c r="S21" s="113"/>
      <c r="T21" s="113"/>
    </row>
    <row r="22" spans="1:20" s="114" customFormat="1" ht="21" customHeight="1">
      <c r="A22" s="58" t="s">
        <v>5</v>
      </c>
      <c r="B22" s="59" t="s">
        <v>9</v>
      </c>
      <c r="C22" s="112">
        <f aca="true" t="shared" si="1" ref="C22:I22">C23+C24</f>
        <v>92878</v>
      </c>
      <c r="D22" s="112">
        <f t="shared" si="1"/>
        <v>33320</v>
      </c>
      <c r="E22" s="112">
        <f t="shared" si="1"/>
        <v>8167</v>
      </c>
      <c r="F22" s="112">
        <f t="shared" si="1"/>
        <v>32639</v>
      </c>
      <c r="G22" s="112">
        <f t="shared" si="1"/>
        <v>9417</v>
      </c>
      <c r="H22" s="112">
        <f t="shared" si="1"/>
        <v>9335</v>
      </c>
      <c r="I22" s="112">
        <f t="shared" si="1"/>
        <v>11524</v>
      </c>
      <c r="J22" s="107"/>
      <c r="K22" s="161"/>
      <c r="L22" s="107"/>
      <c r="M22" s="160"/>
      <c r="N22" s="79"/>
      <c r="O22" s="79"/>
      <c r="P22" s="115"/>
      <c r="Q22" s="113"/>
      <c r="R22" s="113"/>
      <c r="S22" s="113"/>
      <c r="T22" s="113"/>
    </row>
    <row r="23" spans="1:20" s="108" customFormat="1" ht="16.5" customHeight="1">
      <c r="A23" s="97" t="s">
        <v>46</v>
      </c>
      <c r="B23" s="59" t="s">
        <v>9</v>
      </c>
      <c r="C23" s="116">
        <f>80752+4199+1000</f>
        <v>85951</v>
      </c>
      <c r="D23" s="153">
        <f>ROUND(C23-E23-F23-G23-H23,0)</f>
        <v>29106</v>
      </c>
      <c r="E23" s="116">
        <v>7624</v>
      </c>
      <c r="F23" s="116">
        <v>30469</v>
      </c>
      <c r="G23" s="116">
        <f>7000+750+1667</f>
        <v>9417</v>
      </c>
      <c r="H23" s="116">
        <f>8335+1000</f>
        <v>9335</v>
      </c>
      <c r="I23" s="153">
        <f>ROUND(26500*(65164/171094)+1731-300,0)</f>
        <v>11524</v>
      </c>
      <c r="J23" s="107"/>
      <c r="K23" s="107"/>
      <c r="L23" s="107"/>
      <c r="M23" s="109"/>
      <c r="N23" s="79"/>
      <c r="O23" s="79"/>
      <c r="P23" s="111"/>
      <c r="Q23" s="111"/>
      <c r="R23" s="111"/>
      <c r="S23" s="111"/>
      <c r="T23" s="111"/>
    </row>
    <row r="24" spans="1:20" s="108" customFormat="1" ht="16.5" customHeight="1">
      <c r="A24" s="97" t="s">
        <v>93</v>
      </c>
      <c r="B24" s="59" t="s">
        <v>9</v>
      </c>
      <c r="C24" s="116">
        <f>2309*3</f>
        <v>6927</v>
      </c>
      <c r="D24" s="116">
        <f>ROUND(C24-E24-F24-G24-H24,0)</f>
        <v>4214</v>
      </c>
      <c r="E24" s="85">
        <v>543</v>
      </c>
      <c r="F24" s="85">
        <v>2170</v>
      </c>
      <c r="G24" s="116"/>
      <c r="H24" s="116"/>
      <c r="I24" s="116"/>
      <c r="J24" s="107"/>
      <c r="K24" s="107"/>
      <c r="L24" s="107"/>
      <c r="M24" s="109"/>
      <c r="N24" s="117"/>
      <c r="O24" s="118"/>
      <c r="P24" s="109"/>
      <c r="Q24" s="111"/>
      <c r="R24" s="111"/>
      <c r="S24" s="111"/>
      <c r="T24" s="111"/>
    </row>
    <row r="25" spans="1:20" s="108" customFormat="1" ht="21" customHeight="1">
      <c r="A25" s="119" t="s">
        <v>65</v>
      </c>
      <c r="B25" s="59" t="s">
        <v>9</v>
      </c>
      <c r="C25" s="120">
        <f>ROUND(5117*3.56,0)</f>
        <v>18217</v>
      </c>
      <c r="D25" s="112">
        <f>ROUND(C25-E25-F25-G25-H25,0)</f>
        <v>12218</v>
      </c>
      <c r="E25" s="60">
        <v>1200</v>
      </c>
      <c r="F25" s="60">
        <v>4799</v>
      </c>
      <c r="G25" s="60"/>
      <c r="H25" s="60"/>
      <c r="I25" s="60"/>
      <c r="J25" s="107"/>
      <c r="K25" s="107"/>
      <c r="L25" s="163"/>
      <c r="M25" s="107"/>
      <c r="N25" s="79"/>
      <c r="O25" s="107"/>
      <c r="P25" s="111"/>
      <c r="Q25" s="111"/>
      <c r="R25" s="111"/>
      <c r="S25" s="111"/>
      <c r="T25" s="111"/>
    </row>
    <row r="26" spans="1:20" s="108" customFormat="1" ht="21" customHeight="1" thickBot="1">
      <c r="A26" s="121" t="s">
        <v>66</v>
      </c>
      <c r="B26" s="122" t="s">
        <v>9</v>
      </c>
      <c r="C26" s="123">
        <f>ROUND(654*2.57,0)</f>
        <v>1681</v>
      </c>
      <c r="D26" s="124">
        <f>ROUND(C26-E26-F26-G26-H26,0)</f>
        <v>915</v>
      </c>
      <c r="E26" s="125">
        <v>153</v>
      </c>
      <c r="F26" s="125">
        <v>613</v>
      </c>
      <c r="G26" s="125"/>
      <c r="H26" s="125"/>
      <c r="I26" s="125"/>
      <c r="J26" s="107"/>
      <c r="K26" s="107"/>
      <c r="L26" s="107"/>
      <c r="M26" s="126"/>
      <c r="N26" s="126"/>
      <c r="O26" s="126"/>
      <c r="P26" s="109"/>
      <c r="Q26" s="111"/>
      <c r="R26" s="111"/>
      <c r="S26" s="111"/>
      <c r="T26" s="111"/>
    </row>
    <row r="27" spans="1:12" ht="14.25" customHeight="1" thickBot="1">
      <c r="A27" s="103"/>
      <c r="B27" s="23"/>
      <c r="C27" s="25"/>
      <c r="F27" s="104"/>
      <c r="I27" s="26"/>
      <c r="J27" s="6"/>
      <c r="K27" s="27"/>
      <c r="L27" s="6"/>
    </row>
    <row r="28" spans="1:12" ht="44.25" customHeight="1">
      <c r="A28" s="583" t="s">
        <v>0</v>
      </c>
      <c r="B28" s="585" t="s">
        <v>1</v>
      </c>
      <c r="C28" s="574" t="s">
        <v>45</v>
      </c>
      <c r="D28" s="574" t="s">
        <v>67</v>
      </c>
      <c r="E28" s="574" t="s">
        <v>26</v>
      </c>
      <c r="F28" s="574" t="s">
        <v>40</v>
      </c>
      <c r="G28" s="574" t="s">
        <v>27</v>
      </c>
      <c r="H28" s="574" t="s">
        <v>28</v>
      </c>
      <c r="I28" s="574" t="s">
        <v>37</v>
      </c>
      <c r="J28" s="576" t="s">
        <v>29</v>
      </c>
      <c r="K28" s="6"/>
      <c r="L28" s="6"/>
    </row>
    <row r="29" spans="1:12" ht="87.75" customHeight="1" thickBot="1">
      <c r="A29" s="584"/>
      <c r="B29" s="586"/>
      <c r="C29" s="575"/>
      <c r="D29" s="575"/>
      <c r="E29" s="575"/>
      <c r="F29" s="575"/>
      <c r="G29" s="575"/>
      <c r="H29" s="575"/>
      <c r="I29" s="575"/>
      <c r="J29" s="577"/>
      <c r="K29" s="6"/>
      <c r="L29" s="6"/>
    </row>
    <row r="30" spans="1:10" ht="16.5" customHeight="1" thickBot="1">
      <c r="A30" s="74">
        <v>1</v>
      </c>
      <c r="B30" s="64">
        <v>2</v>
      </c>
      <c r="C30" s="75">
        <v>3</v>
      </c>
      <c r="D30" s="75">
        <v>4</v>
      </c>
      <c r="E30" s="75">
        <v>5</v>
      </c>
      <c r="F30" s="75">
        <v>6</v>
      </c>
      <c r="G30" s="75">
        <v>7</v>
      </c>
      <c r="H30" s="75">
        <v>8</v>
      </c>
      <c r="I30" s="75">
        <v>9</v>
      </c>
      <c r="J30" s="75">
        <v>9</v>
      </c>
    </row>
    <row r="31" spans="1:12" ht="16.5" customHeight="1">
      <c r="A31" s="11" t="s">
        <v>34</v>
      </c>
      <c r="B31" s="76"/>
      <c r="C31" s="77"/>
      <c r="D31" s="77"/>
      <c r="E31" s="77"/>
      <c r="F31" s="77"/>
      <c r="G31" s="77"/>
      <c r="H31" s="77"/>
      <c r="I31" s="77"/>
      <c r="J31" s="77"/>
      <c r="L31" s="164"/>
    </row>
    <row r="32" spans="1:20" s="6" customFormat="1" ht="12" customHeight="1">
      <c r="A32" s="30" t="s">
        <v>35</v>
      </c>
      <c r="B32" s="31" t="s">
        <v>11</v>
      </c>
      <c r="C32" s="33">
        <f>D32+J32</f>
        <v>4.64</v>
      </c>
      <c r="D32" s="81">
        <f>E32+F32+G32+H32+I32</f>
        <v>3.82</v>
      </c>
      <c r="E32" s="81">
        <v>1.63</v>
      </c>
      <c r="F32" s="81">
        <v>0.23</v>
      </c>
      <c r="G32" s="81">
        <v>0.94</v>
      </c>
      <c r="H32" s="81">
        <v>0.5</v>
      </c>
      <c r="I32" s="81">
        <v>0.52</v>
      </c>
      <c r="J32" s="81">
        <v>0.82</v>
      </c>
      <c r="K32" s="86"/>
      <c r="L32" s="86"/>
      <c r="M32" s="89"/>
      <c r="N32" s="90"/>
      <c r="O32" s="35"/>
      <c r="P32" s="35"/>
      <c r="Q32" s="88"/>
      <c r="R32" s="35"/>
      <c r="S32" s="35"/>
      <c r="T32" s="35"/>
    </row>
    <row r="33" spans="1:20" s="6" customFormat="1" ht="12" customHeight="1">
      <c r="A33" s="13" t="s">
        <v>36</v>
      </c>
      <c r="B33" s="4" t="s">
        <v>11</v>
      </c>
      <c r="C33" s="33">
        <f>D33+J33</f>
        <v>11.94</v>
      </c>
      <c r="D33" s="81">
        <v>11.2</v>
      </c>
      <c r="E33" s="81">
        <v>1.36</v>
      </c>
      <c r="F33" s="81">
        <v>0.23</v>
      </c>
      <c r="G33" s="81">
        <v>0.94</v>
      </c>
      <c r="H33" s="81">
        <v>7.81</v>
      </c>
      <c r="I33" s="81">
        <v>0.86</v>
      </c>
      <c r="J33" s="81">
        <v>0.74</v>
      </c>
      <c r="K33" s="86"/>
      <c r="L33" s="27"/>
      <c r="M33" s="89"/>
      <c r="N33" s="35"/>
      <c r="O33" s="35"/>
      <c r="P33" s="35"/>
      <c r="Q33" s="90"/>
      <c r="R33" s="35"/>
      <c r="S33" s="35"/>
      <c r="T33" s="35"/>
    </row>
    <row r="34" spans="1:20" s="6" customFormat="1" ht="12" customHeight="1">
      <c r="A34" s="13" t="s">
        <v>21</v>
      </c>
      <c r="B34" s="4" t="s">
        <v>11</v>
      </c>
      <c r="C34" s="33">
        <f>(C35+C36)/2</f>
        <v>3</v>
      </c>
      <c r="D34" s="81">
        <f>E34+F34+G34+H34+I34</f>
        <v>2.67</v>
      </c>
      <c r="E34" s="81">
        <f>ROUND(D22/C10,2)</f>
        <v>0.96</v>
      </c>
      <c r="F34" s="81">
        <f>ROUND(E22/C10,2)</f>
        <v>0.23</v>
      </c>
      <c r="G34" s="81">
        <f>ROUND(F22/C10,2)</f>
        <v>0.94</v>
      </c>
      <c r="H34" s="81">
        <f>ROUND(G22/C10,2)</f>
        <v>0.27</v>
      </c>
      <c r="I34" s="81">
        <f>ROUND(H22/C10,2)</f>
        <v>0.27</v>
      </c>
      <c r="J34" s="81">
        <f>ROUND(I22/C10,2)</f>
        <v>0.33</v>
      </c>
      <c r="K34" s="86"/>
      <c r="L34" s="27"/>
      <c r="M34" s="89"/>
      <c r="N34" s="35"/>
      <c r="O34" s="35"/>
      <c r="P34" s="35"/>
      <c r="Q34" s="90"/>
      <c r="R34" s="35"/>
      <c r="S34" s="35"/>
      <c r="T34" s="35"/>
    </row>
    <row r="35" spans="1:20" s="6" customFormat="1" ht="12" customHeight="1">
      <c r="A35" s="13" t="s">
        <v>47</v>
      </c>
      <c r="B35" s="4" t="s">
        <v>11</v>
      </c>
      <c r="C35" s="33">
        <f>D35+J35</f>
        <v>3.0000000000000004</v>
      </c>
      <c r="D35" s="81">
        <f>E35+F35+G35+H35+I35</f>
        <v>2.6500000000000004</v>
      </c>
      <c r="E35" s="81">
        <v>0.9</v>
      </c>
      <c r="F35" s="81">
        <v>0.23</v>
      </c>
      <c r="G35" s="81">
        <v>0.94</v>
      </c>
      <c r="H35" s="81">
        <f>ROUND(G23/C11,2)</f>
        <v>0.29</v>
      </c>
      <c r="I35" s="81">
        <f>ROUND(H23/C11,2)</f>
        <v>0.29</v>
      </c>
      <c r="J35" s="81">
        <v>0.35</v>
      </c>
      <c r="K35" s="86"/>
      <c r="L35" s="164"/>
      <c r="M35" s="89"/>
      <c r="N35" s="90"/>
      <c r="O35" s="35"/>
      <c r="P35" s="35"/>
      <c r="Q35" s="88"/>
      <c r="R35" s="35"/>
      <c r="S35" s="35"/>
      <c r="T35" s="35"/>
    </row>
    <row r="36" spans="1:20" s="6" customFormat="1" ht="12" customHeight="1">
      <c r="A36" s="13" t="s">
        <v>93</v>
      </c>
      <c r="B36" s="4" t="s">
        <v>11</v>
      </c>
      <c r="C36" s="14">
        <f>C24/C12</f>
        <v>3</v>
      </c>
      <c r="D36" s="81">
        <v>3</v>
      </c>
      <c r="E36" s="81">
        <v>1.83</v>
      </c>
      <c r="F36" s="71">
        <v>0.24</v>
      </c>
      <c r="G36" s="71">
        <v>0.94</v>
      </c>
      <c r="H36" s="71"/>
      <c r="I36" s="14"/>
      <c r="J36" s="14"/>
      <c r="M36" s="89"/>
      <c r="N36" s="35"/>
      <c r="O36" s="35"/>
      <c r="P36" s="35"/>
      <c r="Q36" s="35"/>
      <c r="R36" s="35"/>
      <c r="S36" s="35"/>
      <c r="T36" s="35"/>
    </row>
    <row r="37" spans="1:13" ht="12" customHeight="1">
      <c r="A37" s="30" t="s">
        <v>65</v>
      </c>
      <c r="B37" s="31" t="s">
        <v>11</v>
      </c>
      <c r="C37" s="214" t="s">
        <v>95</v>
      </c>
      <c r="D37" s="215" t="s">
        <v>95</v>
      </c>
      <c r="E37" s="81">
        <v>2.39</v>
      </c>
      <c r="F37" s="81">
        <v>0.23</v>
      </c>
      <c r="G37" s="81">
        <v>0.94</v>
      </c>
      <c r="H37" s="72"/>
      <c r="I37" s="32"/>
      <c r="J37" s="32"/>
      <c r="M37" s="89"/>
    </row>
    <row r="38" spans="1:13" ht="12" customHeight="1" thickBot="1">
      <c r="A38" s="127" t="s">
        <v>6</v>
      </c>
      <c r="B38" s="10" t="s">
        <v>11</v>
      </c>
      <c r="C38" s="34">
        <v>2.57</v>
      </c>
      <c r="D38" s="82">
        <v>2.57</v>
      </c>
      <c r="E38" s="82">
        <v>1.4</v>
      </c>
      <c r="F38" s="82">
        <v>0.23</v>
      </c>
      <c r="G38" s="82">
        <v>0.94</v>
      </c>
      <c r="H38" s="73"/>
      <c r="I38" s="34"/>
      <c r="J38" s="34"/>
      <c r="M38" s="89"/>
    </row>
    <row r="39" spans="1:3" ht="14.25" customHeight="1" thickBot="1">
      <c r="A39" s="15"/>
      <c r="B39" s="16"/>
      <c r="C39" s="2"/>
    </row>
    <row r="40" spans="1:6" ht="19.5" customHeight="1">
      <c r="A40" s="17" t="s">
        <v>12</v>
      </c>
      <c r="B40" s="18" t="s">
        <v>9</v>
      </c>
      <c r="C40" s="1">
        <f>C41+C43+C46+C48</f>
        <v>217962</v>
      </c>
      <c r="D40" s="78"/>
      <c r="E40" t="s">
        <v>17</v>
      </c>
      <c r="F40" s="36"/>
    </row>
    <row r="41" spans="1:9" ht="16.5" customHeight="1">
      <c r="A41" s="58" t="s">
        <v>18</v>
      </c>
      <c r="B41" s="59" t="s">
        <v>9</v>
      </c>
      <c r="C41" s="60">
        <f>C42</f>
        <v>75866</v>
      </c>
      <c r="D41" s="79"/>
      <c r="I41" s="57"/>
    </row>
    <row r="42" spans="1:9" ht="12.75" customHeight="1">
      <c r="A42" s="8" t="s">
        <v>19</v>
      </c>
      <c r="B42" s="4" t="s">
        <v>9</v>
      </c>
      <c r="C42" s="12">
        <v>75866</v>
      </c>
      <c r="D42" s="24"/>
      <c r="I42" s="57"/>
    </row>
    <row r="43" spans="1:9" ht="12.75" customHeight="1">
      <c r="A43" s="3" t="s">
        <v>13</v>
      </c>
      <c r="B43" s="4" t="s">
        <v>9</v>
      </c>
      <c r="C43" s="5">
        <f>C44</f>
        <v>55652</v>
      </c>
      <c r="D43" s="25"/>
      <c r="I43" s="57"/>
    </row>
    <row r="44" spans="1:9" ht="12" customHeight="1">
      <c r="A44" s="9" t="s">
        <v>31</v>
      </c>
      <c r="B44" s="4" t="s">
        <v>9</v>
      </c>
      <c r="C44" s="19">
        <v>55652</v>
      </c>
      <c r="D44" s="80"/>
      <c r="I44" s="57"/>
    </row>
    <row r="45" spans="1:9" ht="12" customHeight="1" hidden="1">
      <c r="A45" s="9" t="s">
        <v>14</v>
      </c>
      <c r="B45" s="4" t="s">
        <v>9</v>
      </c>
      <c r="C45" s="19"/>
      <c r="D45" s="80"/>
      <c r="I45" s="57"/>
    </row>
    <row r="46" spans="1:9" ht="13.5" customHeight="1">
      <c r="A46" s="3" t="s">
        <v>15</v>
      </c>
      <c r="B46" s="4" t="s">
        <v>9</v>
      </c>
      <c r="C46" s="5">
        <f>C47</f>
        <v>13924</v>
      </c>
      <c r="D46" s="25"/>
      <c r="I46" s="57"/>
    </row>
    <row r="47" spans="1:9" ht="12" customHeight="1">
      <c r="A47" s="8" t="s">
        <v>42</v>
      </c>
      <c r="B47" s="4" t="s">
        <v>9</v>
      </c>
      <c r="C47" s="12">
        <v>13924</v>
      </c>
      <c r="D47" s="24"/>
      <c r="I47" s="57"/>
    </row>
    <row r="48" spans="1:9" ht="15" customHeight="1">
      <c r="A48" s="3" t="s">
        <v>16</v>
      </c>
      <c r="B48" s="4" t="s">
        <v>9</v>
      </c>
      <c r="C48" s="5">
        <f>C49+C50+C51</f>
        <v>72520</v>
      </c>
      <c r="D48" s="25"/>
      <c r="I48" s="57"/>
    </row>
    <row r="49" spans="1:20" s="6" customFormat="1" ht="12" customHeight="1">
      <c r="A49" s="20" t="s">
        <v>4</v>
      </c>
      <c r="B49" s="4" t="s">
        <v>9</v>
      </c>
      <c r="C49" s="12">
        <f>7128+7484</f>
        <v>14612</v>
      </c>
      <c r="D49" s="24"/>
      <c r="F49" s="37"/>
      <c r="M49" s="35"/>
      <c r="N49" s="35"/>
      <c r="O49" s="35"/>
      <c r="P49" s="35"/>
      <c r="Q49" s="35"/>
      <c r="R49" s="35"/>
      <c r="S49" s="35"/>
      <c r="T49" s="35"/>
    </row>
    <row r="50" spans="1:20" s="6" customFormat="1" ht="12" customHeight="1">
      <c r="A50" s="20" t="s">
        <v>5</v>
      </c>
      <c r="B50" s="4" t="s">
        <v>9</v>
      </c>
      <c r="C50" s="12">
        <v>18752</v>
      </c>
      <c r="D50" s="24"/>
      <c r="F50" s="37"/>
      <c r="M50" s="35"/>
      <c r="N50" s="35"/>
      <c r="O50" s="35"/>
      <c r="P50" s="35"/>
      <c r="Q50" s="35"/>
      <c r="R50" s="35"/>
      <c r="S50" s="35"/>
      <c r="T50" s="35"/>
    </row>
    <row r="51" spans="1:20" s="6" customFormat="1" ht="12" customHeight="1" thickBot="1">
      <c r="A51" s="21" t="s">
        <v>10</v>
      </c>
      <c r="B51" s="10" t="s">
        <v>9</v>
      </c>
      <c r="C51" s="40">
        <f>35277+3879</f>
        <v>39156</v>
      </c>
      <c r="D51" s="24"/>
      <c r="G51" s="38"/>
      <c r="H51" s="38"/>
      <c r="M51" s="35"/>
      <c r="N51" s="35"/>
      <c r="O51" s="35"/>
      <c r="P51" s="35"/>
      <c r="Q51" s="35"/>
      <c r="R51" s="35"/>
      <c r="S51" s="35"/>
      <c r="T51" s="35"/>
    </row>
    <row r="52" spans="1:4" s="26" customFormat="1" ht="11.25" customHeight="1">
      <c r="A52" s="22"/>
      <c r="B52" s="23"/>
      <c r="C52" s="24"/>
      <c r="D52" s="24"/>
    </row>
    <row r="53" spans="1:4" s="26" customFormat="1" ht="11.25" customHeight="1" thickBot="1">
      <c r="A53" s="22"/>
      <c r="B53" s="23"/>
      <c r="C53" s="24"/>
      <c r="D53" s="24"/>
    </row>
    <row r="54" spans="1:20" s="168" customFormat="1" ht="21.75" customHeight="1" thickBot="1">
      <c r="A54" s="196" t="s">
        <v>80</v>
      </c>
      <c r="B54" s="198" t="s">
        <v>9</v>
      </c>
      <c r="C54" s="197">
        <f>C40-C19</f>
        <v>0</v>
      </c>
      <c r="K54" s="169"/>
      <c r="M54" s="170"/>
      <c r="N54" s="170"/>
      <c r="O54" s="170"/>
      <c r="P54" s="170"/>
      <c r="Q54" s="170"/>
      <c r="R54" s="170"/>
      <c r="S54" s="170"/>
      <c r="T54" s="170"/>
    </row>
    <row r="55" spans="1:4" s="170" customFormat="1" ht="11.25" customHeight="1">
      <c r="A55" s="181"/>
      <c r="B55" s="182"/>
      <c r="C55" s="183"/>
      <c r="D55" s="183"/>
    </row>
    <row r="56" spans="1:4" s="170" customFormat="1" ht="11.25" customHeight="1">
      <c r="A56" s="181"/>
      <c r="B56" s="182"/>
      <c r="C56" s="183"/>
      <c r="D56" s="183"/>
    </row>
    <row r="57" spans="1:208" s="170" customFormat="1" ht="15" customHeight="1" thickBot="1">
      <c r="A57" s="43"/>
      <c r="B57" s="43"/>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row>
    <row r="58" spans="1:20" s="168" customFormat="1" ht="38.25" customHeight="1" thickBot="1">
      <c r="A58" s="184" t="s">
        <v>54</v>
      </c>
      <c r="B58" s="185" t="s">
        <v>9</v>
      </c>
      <c r="C58" s="186">
        <f>C59+C60</f>
        <v>26500</v>
      </c>
      <c r="E58" s="187"/>
      <c r="G58" s="188"/>
      <c r="H58" s="188"/>
      <c r="M58" s="170"/>
      <c r="N58" s="170"/>
      <c r="O58" s="170"/>
      <c r="P58" s="170"/>
      <c r="Q58" s="170"/>
      <c r="R58" s="170"/>
      <c r="S58" s="170"/>
      <c r="T58" s="170"/>
    </row>
    <row r="59" spans="1:208" s="170" customFormat="1" ht="14.25" customHeight="1">
      <c r="A59" s="189" t="s">
        <v>68</v>
      </c>
      <c r="B59" s="190" t="s">
        <v>9</v>
      </c>
      <c r="C59" s="191">
        <v>8500</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row>
    <row r="60" spans="1:208" s="170" customFormat="1" ht="14.25" customHeight="1" thickBot="1">
      <c r="A60" s="192" t="s">
        <v>30</v>
      </c>
      <c r="B60" s="193" t="s">
        <v>9</v>
      </c>
      <c r="C60" s="194">
        <v>18000</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row>
    <row r="61" spans="1:208" s="170" customFormat="1" ht="14.25" customHeigh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8" s="26" customFormat="1" ht="16.5" customHeight="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208" s="26" customFormat="1" ht="66.75" customHeight="1">
      <c r="A63" s="596" t="s">
        <v>91</v>
      </c>
      <c r="B63" s="596"/>
      <c r="C63" s="596"/>
      <c r="D63" s="596"/>
      <c r="E63" s="596"/>
      <c r="F63" s="596"/>
      <c r="G63" s="596"/>
      <c r="H63" s="596"/>
      <c r="I63" s="596"/>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26" customFormat="1" ht="54" customHeight="1">
      <c r="A64" s="572"/>
      <c r="B64" s="57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5" s="217" customFormat="1" ht="12.75">
      <c r="A65" s="46" t="s">
        <v>96</v>
      </c>
      <c r="B65" s="45"/>
      <c r="C65" s="216"/>
      <c r="E65" s="222" t="s">
        <v>100</v>
      </c>
    </row>
    <row r="66" spans="1:5" s="217" customFormat="1" ht="12.75">
      <c r="A66" s="218" t="s">
        <v>98</v>
      </c>
      <c r="B66" s="218"/>
      <c r="C66" s="216"/>
      <c r="E66" s="218" t="s">
        <v>101</v>
      </c>
    </row>
    <row r="67" spans="1:3" s="217" customFormat="1" ht="78" customHeight="1">
      <c r="A67" s="218"/>
      <c r="B67" s="218"/>
      <c r="C67" s="219"/>
    </row>
    <row r="68" spans="1:5" s="217" customFormat="1" ht="12.75">
      <c r="A68" s="222" t="s">
        <v>97</v>
      </c>
      <c r="B68" s="45"/>
      <c r="C68" s="221"/>
      <c r="E68" s="222" t="s">
        <v>102</v>
      </c>
    </row>
    <row r="69" spans="1:5" s="217" customFormat="1" ht="12.75">
      <c r="A69" s="218" t="s">
        <v>99</v>
      </c>
      <c r="B69" s="45"/>
      <c r="C69" s="219"/>
      <c r="E69" s="218" t="s">
        <v>103</v>
      </c>
    </row>
    <row r="70" spans="1:2" s="217" customFormat="1" ht="30" customHeight="1">
      <c r="A70" s="218"/>
      <c r="B70" s="218"/>
    </row>
    <row r="71" spans="2:3" s="217" customFormat="1" ht="12.75">
      <c r="B71" s="45"/>
      <c r="C71" s="221"/>
    </row>
    <row r="72" spans="2:3" s="217" customFormat="1" ht="12.75">
      <c r="B72" s="45"/>
      <c r="C72" s="219"/>
    </row>
    <row r="73" s="217" customFormat="1" ht="33" customHeight="1"/>
    <row r="74" spans="2:3" s="217" customFormat="1" ht="12.75">
      <c r="B74" s="45"/>
      <c r="C74" s="221"/>
    </row>
    <row r="75" spans="2:3" s="217" customFormat="1" ht="12.75">
      <c r="B75" s="45"/>
      <c r="C75" s="219"/>
    </row>
    <row r="76" spans="13:20" s="220" customFormat="1" ht="12.75">
      <c r="M76" s="217"/>
      <c r="N76" s="217"/>
      <c r="O76" s="217"/>
      <c r="P76" s="217"/>
      <c r="Q76" s="217"/>
      <c r="R76" s="217"/>
      <c r="S76" s="217"/>
      <c r="T76" s="217"/>
    </row>
    <row r="77" spans="13:20" s="220" customFormat="1" ht="12.75">
      <c r="M77" s="217"/>
      <c r="N77" s="217"/>
      <c r="O77" s="217"/>
      <c r="P77" s="217"/>
      <c r="Q77" s="217"/>
      <c r="R77" s="217"/>
      <c r="S77" s="217"/>
      <c r="T77" s="217"/>
    </row>
    <row r="78" spans="13:20" s="220" customFormat="1" ht="12.75">
      <c r="M78" s="217"/>
      <c r="N78" s="217"/>
      <c r="O78" s="217"/>
      <c r="P78" s="217"/>
      <c r="Q78" s="217"/>
      <c r="R78" s="217"/>
      <c r="S78" s="217"/>
      <c r="T78" s="217"/>
    </row>
    <row r="79" spans="13:20" s="220" customFormat="1" ht="12.75">
      <c r="M79" s="217"/>
      <c r="N79" s="217"/>
      <c r="O79" s="217"/>
      <c r="P79" s="217"/>
      <c r="Q79" s="217"/>
      <c r="R79" s="217"/>
      <c r="S79" s="217"/>
      <c r="T79" s="217"/>
    </row>
    <row r="80" spans="13:20" s="220" customFormat="1" ht="12.75">
      <c r="M80" s="217"/>
      <c r="N80" s="217"/>
      <c r="O80" s="217"/>
      <c r="P80" s="217"/>
      <c r="Q80" s="217"/>
      <c r="R80" s="217"/>
      <c r="S80" s="217"/>
      <c r="T80" s="217"/>
    </row>
    <row r="81" spans="13:20" s="220" customFormat="1" ht="12.75">
      <c r="M81" s="217"/>
      <c r="N81" s="217"/>
      <c r="O81" s="217"/>
      <c r="P81" s="217"/>
      <c r="Q81" s="217"/>
      <c r="R81" s="217"/>
      <c r="S81" s="217"/>
      <c r="T81" s="217"/>
    </row>
    <row r="82" spans="13:20" s="220" customFormat="1" ht="12.75">
      <c r="M82" s="217"/>
      <c r="N82" s="217"/>
      <c r="O82" s="217"/>
      <c r="P82" s="217"/>
      <c r="Q82" s="217"/>
      <c r="R82" s="217"/>
      <c r="S82" s="217"/>
      <c r="T82" s="217"/>
    </row>
    <row r="83" spans="13:20" s="220" customFormat="1" ht="12.75">
      <c r="M83" s="217"/>
      <c r="N83" s="217"/>
      <c r="O83" s="217"/>
      <c r="P83" s="217"/>
      <c r="Q83" s="217"/>
      <c r="R83" s="217"/>
      <c r="S83" s="217"/>
      <c r="T83" s="217"/>
    </row>
  </sheetData>
  <sheetProtection/>
  <mergeCells count="16">
    <mergeCell ref="A63:I63"/>
    <mergeCell ref="A64:B64"/>
    <mergeCell ref="E28:E29"/>
    <mergeCell ref="F28:F29"/>
    <mergeCell ref="G28:G29"/>
    <mergeCell ref="H28:H29"/>
    <mergeCell ref="I28:I29"/>
    <mergeCell ref="J28:J29"/>
    <mergeCell ref="A1:D1"/>
    <mergeCell ref="A2:D2"/>
    <mergeCell ref="A4:D4"/>
    <mergeCell ref="C6:D6"/>
    <mergeCell ref="A28:A29"/>
    <mergeCell ref="B28:B29"/>
    <mergeCell ref="C28:C29"/>
    <mergeCell ref="D28:D29"/>
  </mergeCells>
  <printOptions/>
  <pageMargins left="0" right="0" top="0.31496062992125984" bottom="0.31496062992125984" header="0.31496062992125984" footer="0.31496062992125984"/>
  <pageSetup fitToHeight="1" fitToWidth="1" horizontalDpi="600" verticalDpi="600" orientation="portrait" paperSize="9" scale="56" r:id="rId1"/>
</worksheet>
</file>

<file path=xl/worksheets/sheet2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L15" sqref="L15"/>
    </sheetView>
  </sheetViews>
  <sheetFormatPr defaultColWidth="9.140625" defaultRowHeight="12.75"/>
  <cols>
    <col min="1" max="1" width="54.8515625" style="0" bestFit="1" customWidth="1"/>
    <col min="2" max="9" width="15.8515625" style="0" customWidth="1"/>
  </cols>
  <sheetData>
    <row r="1" spans="1:9" ht="77.25" thickBot="1">
      <c r="A1" s="63" t="s">
        <v>0</v>
      </c>
      <c r="B1" s="64" t="s">
        <v>1</v>
      </c>
      <c r="C1" s="75" t="s">
        <v>24</v>
      </c>
      <c r="D1" s="75" t="s">
        <v>25</v>
      </c>
      <c r="E1" s="83" t="s">
        <v>41</v>
      </c>
      <c r="F1" s="75" t="s">
        <v>22</v>
      </c>
      <c r="G1" s="68" t="s">
        <v>38</v>
      </c>
      <c r="H1" s="68" t="s">
        <v>39</v>
      </c>
      <c r="I1" s="75" t="s">
        <v>23</v>
      </c>
    </row>
    <row r="2" spans="1:9" ht="13.5" thickBot="1">
      <c r="A2" s="70">
        <v>1</v>
      </c>
      <c r="B2" s="69">
        <v>2</v>
      </c>
      <c r="C2" s="68">
        <v>3</v>
      </c>
      <c r="D2" s="68">
        <v>4</v>
      </c>
      <c r="E2" s="68">
        <v>5</v>
      </c>
      <c r="F2" s="68">
        <v>6</v>
      </c>
      <c r="G2" s="68">
        <v>7</v>
      </c>
      <c r="H2" s="68">
        <v>8</v>
      </c>
      <c r="I2" s="68">
        <v>9</v>
      </c>
    </row>
    <row r="3" spans="1:9" ht="18">
      <c r="A3" s="105" t="s">
        <v>33</v>
      </c>
      <c r="B3" s="96" t="s">
        <v>9</v>
      </c>
      <c r="C3" s="106"/>
      <c r="D3" s="106"/>
      <c r="E3" s="106"/>
      <c r="F3" s="106"/>
      <c r="G3" s="106"/>
      <c r="H3" s="106"/>
      <c r="I3" s="106"/>
    </row>
    <row r="4" spans="1:9" ht="30.75" customHeight="1" thickBot="1">
      <c r="A4" s="121" t="s">
        <v>10</v>
      </c>
      <c r="B4" s="122" t="s">
        <v>9</v>
      </c>
      <c r="C4" s="246">
        <f>49350+1857-142-142-315</f>
        <v>50608</v>
      </c>
      <c r="D4" s="246">
        <f>ROUND(C4-E4-F4-G4-H4,0)</f>
        <v>6155</v>
      </c>
      <c r="E4" s="246">
        <v>1060</v>
      </c>
      <c r="F4" s="246">
        <v>4237</v>
      </c>
      <c r="G4" s="247">
        <f>30123+5154</f>
        <v>35277</v>
      </c>
      <c r="H4" s="246">
        <v>3879</v>
      </c>
      <c r="I4" s="246">
        <f>26500*(47355/171094)-3281-1000+300</f>
        <v>3353.608460846085</v>
      </c>
    </row>
    <row r="5" ht="13.5" thickBot="1"/>
    <row r="6" spans="1:9" ht="12.75">
      <c r="A6" s="224"/>
      <c r="B6" s="231"/>
      <c r="C6" s="231"/>
      <c r="D6" s="231"/>
      <c r="E6" s="231"/>
      <c r="F6" s="231"/>
      <c r="G6" s="231"/>
      <c r="H6" s="231"/>
      <c r="I6" s="225"/>
    </row>
    <row r="7" spans="1:9" ht="12.75">
      <c r="A7" s="237" t="s">
        <v>106</v>
      </c>
      <c r="B7" s="232" t="s">
        <v>9</v>
      </c>
      <c r="C7" s="233">
        <f>SUM(D7:I7)</f>
        <v>35974.40564056405</v>
      </c>
      <c r="D7" s="233">
        <f aca="true" t="shared" si="0" ref="D7:I7">(D4/12)*8</f>
        <v>4103.333333333333</v>
      </c>
      <c r="E7" s="233">
        <f t="shared" si="0"/>
        <v>706.6666666666666</v>
      </c>
      <c r="F7" s="233">
        <f t="shared" si="0"/>
        <v>2824.6666666666665</v>
      </c>
      <c r="G7" s="233">
        <f t="shared" si="0"/>
        <v>23518</v>
      </c>
      <c r="H7" s="233">
        <f t="shared" si="0"/>
        <v>2586</v>
      </c>
      <c r="I7" s="238">
        <f t="shared" si="0"/>
        <v>2235.73897389739</v>
      </c>
    </row>
    <row r="8" spans="1:9" ht="12.75">
      <c r="A8" s="239"/>
      <c r="B8" s="234"/>
      <c r="C8" s="235"/>
      <c r="D8" s="235"/>
      <c r="E8" s="235"/>
      <c r="F8" s="235"/>
      <c r="G8" s="235"/>
      <c r="H8" s="235"/>
      <c r="I8" s="240"/>
    </row>
    <row r="9" spans="1:9" ht="12.75">
      <c r="A9" s="237" t="s">
        <v>105</v>
      </c>
      <c r="B9" s="232" t="s">
        <v>9</v>
      </c>
      <c r="C9" s="233">
        <f>SUM(D9:I9)</f>
        <v>40726</v>
      </c>
      <c r="D9" s="242">
        <v>4044</v>
      </c>
      <c r="E9" s="242">
        <v>654</v>
      </c>
      <c r="F9" s="242">
        <v>3010</v>
      </c>
      <c r="G9" s="242">
        <f>19709+4323</f>
        <v>24032</v>
      </c>
      <c r="H9" s="242">
        <v>2686</v>
      </c>
      <c r="I9" s="238">
        <v>6300</v>
      </c>
    </row>
    <row r="10" spans="1:9" ht="12.75">
      <c r="A10" s="239"/>
      <c r="B10" s="234"/>
      <c r="C10" s="236"/>
      <c r="D10" s="236"/>
      <c r="E10" s="236"/>
      <c r="F10" s="236"/>
      <c r="G10" s="236"/>
      <c r="H10" s="236"/>
      <c r="I10" s="241"/>
    </row>
    <row r="11" spans="1:9" ht="12.75">
      <c r="A11" s="237" t="s">
        <v>104</v>
      </c>
      <c r="B11" s="232" t="s">
        <v>9</v>
      </c>
      <c r="C11" s="233">
        <f>SUM(D11:I11)</f>
        <v>4751.594359435943</v>
      </c>
      <c r="D11" s="233">
        <f aca="true" t="shared" si="1" ref="D11:I11">D9-D7</f>
        <v>-59.33333333333303</v>
      </c>
      <c r="E11" s="233">
        <f t="shared" si="1"/>
        <v>-52.66666666666663</v>
      </c>
      <c r="F11" s="233">
        <f t="shared" si="1"/>
        <v>185.33333333333348</v>
      </c>
      <c r="G11" s="233">
        <f t="shared" si="1"/>
        <v>514</v>
      </c>
      <c r="H11" s="233">
        <f t="shared" si="1"/>
        <v>100</v>
      </c>
      <c r="I11" s="238">
        <f t="shared" si="1"/>
        <v>4064.26102610261</v>
      </c>
    </row>
    <row r="12" spans="1:9" ht="13.5" thickBot="1">
      <c r="A12" s="226"/>
      <c r="B12" s="230"/>
      <c r="C12" s="230"/>
      <c r="D12" s="230"/>
      <c r="E12" s="230"/>
      <c r="F12" s="230"/>
      <c r="G12" s="230"/>
      <c r="H12" s="230"/>
      <c r="I12" s="227"/>
    </row>
    <row r="13" spans="2:3" ht="12.75">
      <c r="B13" s="26"/>
      <c r="C13" s="26"/>
    </row>
    <row r="14" ht="13.5" thickBot="1"/>
    <row r="15" spans="1:9" ht="12.75">
      <c r="A15" s="229" t="s">
        <v>109</v>
      </c>
      <c r="B15" s="231"/>
      <c r="C15" s="231"/>
      <c r="D15" s="231"/>
      <c r="E15" s="231"/>
      <c r="F15" s="231"/>
      <c r="G15" s="231"/>
      <c r="H15" s="231"/>
      <c r="I15" s="225"/>
    </row>
    <row r="16" spans="1:9" ht="24" customHeight="1">
      <c r="A16" s="244" t="s">
        <v>108</v>
      </c>
      <c r="B16" s="232" t="s">
        <v>9</v>
      </c>
      <c r="C16" s="233">
        <f>SUM(D16:I16)</f>
        <v>44133.33333333333</v>
      </c>
      <c r="D16" s="233">
        <f>1828.33333333333*8</f>
        <v>14626.666666666666</v>
      </c>
      <c r="E16" s="233">
        <f>86*8</f>
        <v>688</v>
      </c>
      <c r="F16" s="233">
        <f>339.333333333333*8</f>
        <v>2714.6666666666665</v>
      </c>
      <c r="G16" s="233">
        <v>23518</v>
      </c>
      <c r="H16" s="233">
        <v>2586</v>
      </c>
      <c r="I16" s="245">
        <v>0</v>
      </c>
    </row>
    <row r="17" spans="1:9" ht="12.75">
      <c r="A17" s="239"/>
      <c r="B17" s="234"/>
      <c r="C17" s="235"/>
      <c r="D17" s="235"/>
      <c r="E17" s="235"/>
      <c r="F17" s="235"/>
      <c r="G17" s="235"/>
      <c r="H17" s="235"/>
      <c r="I17" s="240"/>
    </row>
    <row r="18" spans="1:9" ht="12.75">
      <c r="A18" s="237" t="s">
        <v>105</v>
      </c>
      <c r="B18" s="232" t="s">
        <v>9</v>
      </c>
      <c r="C18" s="233">
        <f>SUM(D18:I18)</f>
        <v>40726</v>
      </c>
      <c r="D18" s="242">
        <v>4044</v>
      </c>
      <c r="E18" s="242">
        <v>654</v>
      </c>
      <c r="F18" s="242">
        <v>3010</v>
      </c>
      <c r="G18" s="242">
        <f>19709+4323</f>
        <v>24032</v>
      </c>
      <c r="H18" s="242">
        <v>2686</v>
      </c>
      <c r="I18" s="238">
        <v>6300</v>
      </c>
    </row>
    <row r="19" spans="1:9" ht="12.75">
      <c r="A19" s="239"/>
      <c r="B19" s="234"/>
      <c r="C19" s="236"/>
      <c r="D19" s="236"/>
      <c r="E19" s="236"/>
      <c r="F19" s="236"/>
      <c r="G19" s="236"/>
      <c r="H19" s="236"/>
      <c r="I19" s="241"/>
    </row>
    <row r="20" spans="1:9" ht="12.75">
      <c r="A20" s="237" t="s">
        <v>104</v>
      </c>
      <c r="B20" s="232" t="s">
        <v>9</v>
      </c>
      <c r="C20" s="233">
        <f aca="true" t="shared" si="2" ref="C20:I20">C18-C16</f>
        <v>-3407.3333333333285</v>
      </c>
      <c r="D20" s="233">
        <f t="shared" si="2"/>
        <v>-10582.666666666666</v>
      </c>
      <c r="E20" s="233">
        <f t="shared" si="2"/>
        <v>-34</v>
      </c>
      <c r="F20" s="233">
        <f t="shared" si="2"/>
        <v>295.3333333333335</v>
      </c>
      <c r="G20" s="233">
        <f t="shared" si="2"/>
        <v>514</v>
      </c>
      <c r="H20" s="233">
        <f t="shared" si="2"/>
        <v>100</v>
      </c>
      <c r="I20" s="238">
        <f t="shared" si="2"/>
        <v>6300</v>
      </c>
    </row>
    <row r="21" spans="1:9" ht="13.5" thickBot="1">
      <c r="A21" s="226"/>
      <c r="B21" s="230"/>
      <c r="C21" s="230"/>
      <c r="D21" s="230"/>
      <c r="E21" s="230"/>
      <c r="F21" s="230"/>
      <c r="G21" s="230"/>
      <c r="H21" s="230"/>
      <c r="I21" s="227"/>
    </row>
    <row r="23" spans="2:3" ht="12.75">
      <c r="B23" t="s">
        <v>107</v>
      </c>
      <c r="C23" s="228">
        <f>234+495+1491+704</f>
        <v>2924</v>
      </c>
    </row>
    <row r="25" ht="12.75">
      <c r="C25" s="243">
        <f>C20+C23</f>
        <v>-483.3333333333285</v>
      </c>
    </row>
    <row r="27" ht="12.75" hidden="1"/>
    <row r="28" ht="13.5" hidden="1" thickBot="1"/>
    <row r="29" spans="1:9" ht="12.75" hidden="1">
      <c r="A29" s="229" t="s">
        <v>109</v>
      </c>
      <c r="B29" s="231"/>
      <c r="C29" s="231"/>
      <c r="D29" s="231"/>
      <c r="E29" s="231"/>
      <c r="F29" s="231"/>
      <c r="G29" s="231"/>
      <c r="H29" s="231"/>
      <c r="I29" s="225"/>
    </row>
    <row r="30" spans="1:9" ht="25.5" hidden="1">
      <c r="A30" s="244" t="s">
        <v>111</v>
      </c>
      <c r="B30" s="232" t="s">
        <v>9</v>
      </c>
      <c r="C30" s="233">
        <f>SUM(D30:I30)</f>
        <v>66200</v>
      </c>
      <c r="D30" s="233">
        <v>21940</v>
      </c>
      <c r="E30" s="233">
        <v>1032</v>
      </c>
      <c r="F30" s="233">
        <v>4072</v>
      </c>
      <c r="G30" s="233">
        <f>30123+5154</f>
        <v>35277</v>
      </c>
      <c r="H30" s="233">
        <v>3879</v>
      </c>
      <c r="I30" s="238"/>
    </row>
    <row r="31" spans="1:9" ht="12.75" hidden="1">
      <c r="A31" s="239"/>
      <c r="B31" s="234"/>
      <c r="C31" s="235"/>
      <c r="D31" s="235"/>
      <c r="E31" s="235"/>
      <c r="F31" s="235"/>
      <c r="G31" s="235"/>
      <c r="H31" s="235"/>
      <c r="I31" s="240"/>
    </row>
    <row r="32" spans="1:9" ht="12.75" hidden="1">
      <c r="A32" s="237" t="s">
        <v>105</v>
      </c>
      <c r="B32" s="232" t="s">
        <v>9</v>
      </c>
      <c r="C32" s="233">
        <f>SUM(D32:I32)</f>
        <v>40726</v>
      </c>
      <c r="D32" s="242">
        <v>4044</v>
      </c>
      <c r="E32" s="242">
        <v>654</v>
      </c>
      <c r="F32" s="242">
        <v>3010</v>
      </c>
      <c r="G32" s="242">
        <f>19709+4323</f>
        <v>24032</v>
      </c>
      <c r="H32" s="242">
        <v>2686</v>
      </c>
      <c r="I32" s="238">
        <v>6300</v>
      </c>
    </row>
    <row r="33" spans="1:9" ht="12.75" hidden="1">
      <c r="A33" s="237"/>
      <c r="B33" s="232"/>
      <c r="C33" s="233"/>
      <c r="D33" s="242"/>
      <c r="E33" s="242"/>
      <c r="F33" s="242"/>
      <c r="G33" s="242"/>
      <c r="H33" s="242"/>
      <c r="I33" s="238"/>
    </row>
    <row r="34" spans="1:9" ht="12.75" hidden="1">
      <c r="A34" s="237" t="s">
        <v>112</v>
      </c>
      <c r="B34" s="232" t="s">
        <v>9</v>
      </c>
      <c r="C34" s="233">
        <f>SUM(D34:I34)</f>
        <v>22187</v>
      </c>
      <c r="D34" s="242">
        <f>D4-D32</f>
        <v>2111</v>
      </c>
      <c r="E34" s="242">
        <f>E4-E32</f>
        <v>406</v>
      </c>
      <c r="F34" s="242">
        <f>F4-F32</f>
        <v>1227</v>
      </c>
      <c r="G34" s="242">
        <v>12016</v>
      </c>
      <c r="H34" s="242">
        <v>1343</v>
      </c>
      <c r="I34" s="238">
        <v>5084</v>
      </c>
    </row>
    <row r="35" spans="1:9" ht="12.75" hidden="1">
      <c r="A35" s="239"/>
      <c r="B35" s="234"/>
      <c r="C35" s="236"/>
      <c r="D35" s="236"/>
      <c r="E35" s="236"/>
      <c r="F35" s="236"/>
      <c r="G35" s="236"/>
      <c r="H35" s="236"/>
      <c r="I35" s="241"/>
    </row>
    <row r="36" spans="1:9" ht="12.75" hidden="1">
      <c r="A36" s="237" t="s">
        <v>104</v>
      </c>
      <c r="B36" s="232" t="s">
        <v>9</v>
      </c>
      <c r="C36" s="233">
        <f>C32-C30+C34</f>
        <v>-3287</v>
      </c>
      <c r="D36" s="233">
        <f aca="true" t="shared" si="3" ref="D36:I36">D32-D30+D34</f>
        <v>-15785</v>
      </c>
      <c r="E36" s="233">
        <f t="shared" si="3"/>
        <v>28</v>
      </c>
      <c r="F36" s="233">
        <f t="shared" si="3"/>
        <v>165</v>
      </c>
      <c r="G36" s="233">
        <f t="shared" si="3"/>
        <v>771</v>
      </c>
      <c r="H36" s="233">
        <f t="shared" si="3"/>
        <v>150</v>
      </c>
      <c r="I36" s="238">
        <f t="shared" si="3"/>
        <v>11384</v>
      </c>
    </row>
    <row r="37" spans="1:9" ht="13.5" hidden="1" thickBot="1">
      <c r="A37" s="226"/>
      <c r="B37" s="230"/>
      <c r="C37" s="230"/>
      <c r="D37" s="230"/>
      <c r="E37" s="230"/>
      <c r="F37" s="230"/>
      <c r="G37" s="230"/>
      <c r="H37" s="230"/>
      <c r="I37" s="227"/>
    </row>
    <row r="38" ht="12.75" hidden="1"/>
    <row r="39" ht="12.75" hidden="1"/>
    <row r="40" ht="12.75" hidden="1"/>
    <row r="42" ht="13.5" thickBot="1"/>
    <row r="43" spans="1:8" ht="12.75">
      <c r="A43" s="229" t="s">
        <v>110</v>
      </c>
      <c r="B43" s="231"/>
      <c r="C43" s="249" t="s">
        <v>63</v>
      </c>
      <c r="D43" s="249" t="s">
        <v>113</v>
      </c>
      <c r="E43" s="249" t="s">
        <v>114</v>
      </c>
      <c r="F43" s="249" t="s">
        <v>115</v>
      </c>
      <c r="G43" s="249" t="s">
        <v>116</v>
      </c>
      <c r="H43" s="250" t="s">
        <v>117</v>
      </c>
    </row>
    <row r="44" spans="1:8" ht="25.5">
      <c r="A44" s="244" t="s">
        <v>108</v>
      </c>
      <c r="B44" s="248" t="s">
        <v>9</v>
      </c>
      <c r="C44" s="233">
        <f>SUM(D44:H44)</f>
        <v>44133.333333333336</v>
      </c>
      <c r="D44" s="233">
        <f>1399.66666666667*8</f>
        <v>11197.333333333334</v>
      </c>
      <c r="E44" s="233">
        <f>638.583333333333*8</f>
        <v>5108.666666666667</v>
      </c>
      <c r="F44" s="233">
        <f>35023/12*8</f>
        <v>23348.666666666668</v>
      </c>
      <c r="G44" s="233">
        <f>101.833333333333*8</f>
        <v>814.6666666666666</v>
      </c>
      <c r="H44" s="238">
        <f>458*8</f>
        <v>3664</v>
      </c>
    </row>
    <row r="45" spans="1:8" ht="12.75">
      <c r="A45" s="239"/>
      <c r="B45" s="234"/>
      <c r="C45" s="235"/>
      <c r="D45" s="235"/>
      <c r="E45" s="235"/>
      <c r="F45" s="235"/>
      <c r="G45" s="235"/>
      <c r="H45" s="240"/>
    </row>
    <row r="46" spans="1:8" ht="12.75">
      <c r="A46" s="237" t="s">
        <v>105</v>
      </c>
      <c r="B46" s="232" t="s">
        <v>9</v>
      </c>
      <c r="C46" s="233">
        <f>SUM(D46:H46)</f>
        <v>47097</v>
      </c>
      <c r="D46" s="233">
        <f>8843+758</f>
        <v>9601</v>
      </c>
      <c r="E46" s="242">
        <v>6201</v>
      </c>
      <c r="F46" s="242">
        <v>25818</v>
      </c>
      <c r="G46" s="242">
        <v>1716</v>
      </c>
      <c r="H46" s="251">
        <v>3761</v>
      </c>
    </row>
    <row r="47" spans="1:8" ht="12.75">
      <c r="A47" s="239"/>
      <c r="B47" s="234"/>
      <c r="C47" s="236"/>
      <c r="D47" s="236"/>
      <c r="E47" s="236"/>
      <c r="F47" s="236"/>
      <c r="G47" s="236"/>
      <c r="H47" s="241"/>
    </row>
    <row r="48" spans="1:8" ht="12.75">
      <c r="A48" s="237" t="s">
        <v>104</v>
      </c>
      <c r="B48" s="232" t="s">
        <v>9</v>
      </c>
      <c r="C48" s="233">
        <f>SUM(D48:H48)</f>
        <v>2963.6666666666647</v>
      </c>
      <c r="D48" s="233">
        <f>D46-D44</f>
        <v>-1596.333333333334</v>
      </c>
      <c r="E48" s="233">
        <f>E46-E44</f>
        <v>1092.333333333333</v>
      </c>
      <c r="F48" s="233">
        <f>F46-F44</f>
        <v>2469.333333333332</v>
      </c>
      <c r="G48" s="233">
        <f>G46-G44</f>
        <v>901.3333333333334</v>
      </c>
      <c r="H48" s="238">
        <f>H46-H44</f>
        <v>97</v>
      </c>
    </row>
    <row r="49" spans="1:8" ht="13.5" thickBot="1">
      <c r="A49" s="226"/>
      <c r="B49" s="230"/>
      <c r="C49" s="230"/>
      <c r="D49" s="230"/>
      <c r="E49" s="230"/>
      <c r="F49" s="230"/>
      <c r="G49" s="230"/>
      <c r="H49" s="227"/>
    </row>
  </sheetData>
  <sheetProtection/>
  <printOptions/>
  <pageMargins left="0.7" right="0.7" top="0.75" bottom="0.75" header="0.3" footer="0.3"/>
  <pageSetup fitToHeight="1" fitToWidth="1" horizontalDpi="600" verticalDpi="600" orientation="landscape" paperSize="9" scale="73" r:id="rId1"/>
</worksheet>
</file>

<file path=xl/worksheets/sheet23.xml><?xml version="1.0" encoding="utf-8"?>
<worksheet xmlns="http://schemas.openxmlformats.org/spreadsheetml/2006/main" xmlns:r="http://schemas.openxmlformats.org/officeDocument/2006/relationships">
  <sheetPr>
    <pageSetUpPr fitToPage="1"/>
  </sheetPr>
  <dimension ref="A1:GN77"/>
  <sheetViews>
    <sheetView showGridLines="0" zoomScalePageLayoutView="0" workbookViewId="0" topLeftCell="A35">
      <selection activeCell="G62" sqref="G62"/>
    </sheetView>
  </sheetViews>
  <sheetFormatPr defaultColWidth="9.140625" defaultRowHeight="12.75"/>
  <cols>
    <col min="1" max="1" width="62.00390625" style="0" customWidth="1"/>
    <col min="2" max="2" width="7.140625" style="0" customWidth="1"/>
    <col min="3" max="4" width="15.28125" style="0" customWidth="1"/>
    <col min="5" max="5" width="15.8515625" style="0" customWidth="1"/>
    <col min="6" max="7" width="13.28125" style="0" customWidth="1"/>
    <col min="8" max="8" width="14.00390625" style="0" customWidth="1"/>
    <col min="9" max="9" width="13.28125" style="0" customWidth="1"/>
    <col min="10" max="10" width="14.140625" style="0" customWidth="1"/>
    <col min="11" max="11" width="13.8515625" style="0" customWidth="1"/>
    <col min="12" max="12" width="20.57421875" style="0" bestFit="1" customWidth="1"/>
    <col min="13" max="13" width="14.421875" style="0" bestFit="1" customWidth="1"/>
    <col min="14" max="14" width="11.421875" style="0" bestFit="1" customWidth="1"/>
  </cols>
  <sheetData>
    <row r="1" spans="1:10" ht="23.25" customHeight="1">
      <c r="A1" s="606" t="s">
        <v>20</v>
      </c>
      <c r="B1" s="606"/>
      <c r="C1" s="606"/>
      <c r="D1" s="606"/>
      <c r="E1" s="168"/>
      <c r="F1" s="613" t="s">
        <v>144</v>
      </c>
      <c r="G1" s="613"/>
      <c r="H1" s="613"/>
      <c r="I1" s="428"/>
      <c r="J1" s="428"/>
    </row>
    <row r="2" spans="1:10" ht="12.75" customHeight="1">
      <c r="A2" s="608" t="s">
        <v>160</v>
      </c>
      <c r="B2" s="608"/>
      <c r="C2" s="608"/>
      <c r="D2" s="608"/>
      <c r="E2" s="168"/>
      <c r="F2" s="168"/>
      <c r="G2" s="428"/>
      <c r="H2" s="430"/>
      <c r="I2" s="430"/>
      <c r="J2" s="430"/>
    </row>
    <row r="3" spans="1:10" ht="12.75" customHeight="1">
      <c r="A3" s="298"/>
      <c r="B3" s="298"/>
      <c r="C3" s="298"/>
      <c r="D3" s="298"/>
      <c r="E3" s="168"/>
      <c r="F3" s="168"/>
      <c r="G3" s="428"/>
      <c r="H3" s="430"/>
      <c r="I3" s="430"/>
      <c r="J3" s="430"/>
    </row>
    <row r="4" spans="1:10" ht="12.75" customHeight="1">
      <c r="A4" s="609"/>
      <c r="B4" s="609"/>
      <c r="C4" s="609"/>
      <c r="D4" s="609"/>
      <c r="E4" s="168"/>
      <c r="F4" s="168"/>
      <c r="G4" s="428"/>
      <c r="H4" s="428"/>
      <c r="I4" s="428"/>
      <c r="J4" s="428"/>
    </row>
    <row r="5" spans="1:10" ht="22.5" customHeight="1" thickBot="1">
      <c r="A5" s="299"/>
      <c r="B5" s="299"/>
      <c r="C5" s="616"/>
      <c r="D5" s="616"/>
      <c r="E5" s="168"/>
      <c r="F5" s="168"/>
      <c r="G5" s="428"/>
      <c r="H5" s="428"/>
      <c r="I5" s="428"/>
      <c r="J5" s="428"/>
    </row>
    <row r="6" spans="1:10" ht="37.5" customHeight="1" thickBot="1">
      <c r="A6" s="300" t="s">
        <v>0</v>
      </c>
      <c r="B6" s="301" t="s">
        <v>1</v>
      </c>
      <c r="C6" s="610" t="s">
        <v>161</v>
      </c>
      <c r="D6" s="611"/>
      <c r="E6" s="168"/>
      <c r="F6" s="302"/>
      <c r="G6" s="168"/>
      <c r="H6" s="168"/>
      <c r="I6" s="168"/>
      <c r="J6" s="302"/>
    </row>
    <row r="7" spans="1:10" ht="19.5" customHeight="1">
      <c r="A7" s="303" t="s">
        <v>2</v>
      </c>
      <c r="B7" s="304" t="s">
        <v>3</v>
      </c>
      <c r="C7" s="167">
        <f>SUM(C8:C13)</f>
        <v>63930</v>
      </c>
      <c r="D7" s="306">
        <f>SUM(D8:D13)</f>
        <v>1</v>
      </c>
      <c r="E7" s="169"/>
      <c r="F7" s="168"/>
      <c r="G7" s="168"/>
      <c r="H7" s="168"/>
      <c r="I7" s="168"/>
      <c r="J7" s="168"/>
    </row>
    <row r="8" spans="1:10" s="6" customFormat="1" ht="21" customHeight="1">
      <c r="A8" s="307" t="s">
        <v>4</v>
      </c>
      <c r="B8" s="148" t="s">
        <v>3</v>
      </c>
      <c r="C8" s="120">
        <v>14193</v>
      </c>
      <c r="D8" s="308">
        <f aca="true" t="shared" si="0" ref="D8:D13">C8/$C$7</f>
        <v>0.22200844673862036</v>
      </c>
      <c r="E8" s="339"/>
      <c r="F8" s="437"/>
      <c r="G8" s="438"/>
      <c r="H8" s="412"/>
      <c r="I8" s="309"/>
      <c r="J8" s="310"/>
    </row>
    <row r="9" spans="1:10" s="6" customFormat="1" ht="21" customHeight="1">
      <c r="A9" s="307" t="s">
        <v>145</v>
      </c>
      <c r="B9" s="148"/>
      <c r="C9" s="120">
        <v>2852</v>
      </c>
      <c r="D9" s="308">
        <f t="shared" si="0"/>
        <v>0.0446112936023776</v>
      </c>
      <c r="E9" s="339"/>
      <c r="F9" s="437"/>
      <c r="G9" s="339"/>
      <c r="H9" s="412"/>
      <c r="I9" s="309"/>
      <c r="J9" s="310"/>
    </row>
    <row r="10" spans="1:10" s="6" customFormat="1" ht="21" customHeight="1">
      <c r="A10" s="307" t="s">
        <v>10</v>
      </c>
      <c r="B10" s="148" t="s">
        <v>3</v>
      </c>
      <c r="C10" s="120">
        <v>5973</v>
      </c>
      <c r="D10" s="308">
        <f t="shared" si="0"/>
        <v>0.09343031440638198</v>
      </c>
      <c r="E10" s="311"/>
      <c r="F10" s="437"/>
      <c r="G10" s="309"/>
      <c r="H10" s="309"/>
      <c r="I10" s="309"/>
      <c r="J10" s="309"/>
    </row>
    <row r="11" spans="1:10" s="6" customFormat="1" ht="21" customHeight="1">
      <c r="A11" s="307" t="s">
        <v>5</v>
      </c>
      <c r="B11" s="148" t="s">
        <v>3</v>
      </c>
      <c r="C11" s="120">
        <v>33550</v>
      </c>
      <c r="D11" s="308">
        <f t="shared" si="0"/>
        <v>0.52479274206163</v>
      </c>
      <c r="E11" s="339"/>
      <c r="F11" s="437"/>
      <c r="G11" s="339"/>
      <c r="H11" s="309"/>
      <c r="I11" s="309"/>
      <c r="J11" s="309"/>
    </row>
    <row r="12" spans="1:10" s="6" customFormat="1" ht="21" customHeight="1">
      <c r="A12" s="312" t="s">
        <v>120</v>
      </c>
      <c r="B12" s="148" t="s">
        <v>3</v>
      </c>
      <c r="C12" s="313">
        <v>6670</v>
      </c>
      <c r="D12" s="308">
        <f t="shared" si="0"/>
        <v>0.10433286407007665</v>
      </c>
      <c r="E12" s="309"/>
      <c r="F12" s="437"/>
      <c r="G12" s="432"/>
      <c r="H12" s="309"/>
      <c r="I12" s="309"/>
      <c r="J12" s="309"/>
    </row>
    <row r="13" spans="1:10" ht="21" customHeight="1" thickBot="1">
      <c r="A13" s="419" t="s">
        <v>148</v>
      </c>
      <c r="B13" s="420" t="s">
        <v>3</v>
      </c>
      <c r="C13" s="421">
        <v>692</v>
      </c>
      <c r="D13" s="317">
        <f t="shared" si="0"/>
        <v>0.010824339120913498</v>
      </c>
      <c r="E13" s="339"/>
      <c r="F13" s="168"/>
      <c r="G13" s="168"/>
      <c r="H13" s="168"/>
      <c r="I13" s="168"/>
      <c r="J13" s="395"/>
    </row>
    <row r="14" spans="1:10" ht="12" customHeight="1">
      <c r="A14" s="170"/>
      <c r="B14" s="170"/>
      <c r="C14" s="170"/>
      <c r="D14" s="168"/>
      <c r="E14" s="168"/>
      <c r="F14" s="321"/>
      <c r="G14" s="395"/>
      <c r="H14" s="395"/>
      <c r="I14" s="395"/>
      <c r="J14" s="395"/>
    </row>
    <row r="15" spans="1:10" ht="15.75" customHeight="1" thickBot="1">
      <c r="A15" s="456"/>
      <c r="B15" s="351"/>
      <c r="C15" s="457"/>
      <c r="D15" s="168"/>
      <c r="E15" s="168"/>
      <c r="F15" s="325"/>
      <c r="G15" s="325"/>
      <c r="H15" s="325"/>
      <c r="I15" s="326"/>
      <c r="J15" s="395"/>
    </row>
    <row r="16" spans="1:13" ht="100.5" customHeight="1" thickBot="1">
      <c r="A16" s="300" t="s">
        <v>0</v>
      </c>
      <c r="B16" s="301" t="s">
        <v>1</v>
      </c>
      <c r="C16" s="263" t="s">
        <v>24</v>
      </c>
      <c r="D16" s="263" t="s">
        <v>25</v>
      </c>
      <c r="E16" s="327" t="s">
        <v>41</v>
      </c>
      <c r="F16" s="263" t="s">
        <v>22</v>
      </c>
      <c r="G16" s="297" t="s">
        <v>38</v>
      </c>
      <c r="H16" s="297" t="s">
        <v>39</v>
      </c>
      <c r="I16" s="263" t="s">
        <v>23</v>
      </c>
      <c r="J16" s="500">
        <f>+I18-90000</f>
        <v>134896</v>
      </c>
      <c r="K16" s="405"/>
      <c r="L16" s="405"/>
      <c r="M16" s="26"/>
    </row>
    <row r="17" spans="1:11" ht="16.5" customHeight="1" thickBot="1">
      <c r="A17" s="328">
        <v>1</v>
      </c>
      <c r="B17" s="329">
        <v>2</v>
      </c>
      <c r="C17" s="297">
        <v>3</v>
      </c>
      <c r="D17" s="297">
        <v>4</v>
      </c>
      <c r="E17" s="297">
        <v>5</v>
      </c>
      <c r="F17" s="297">
        <v>6</v>
      </c>
      <c r="G17" s="297">
        <v>7</v>
      </c>
      <c r="H17" s="297">
        <v>8</v>
      </c>
      <c r="I17" s="297">
        <v>9</v>
      </c>
      <c r="J17" s="628" t="s">
        <v>170</v>
      </c>
      <c r="K17" s="618" t="s">
        <v>171</v>
      </c>
    </row>
    <row r="18" spans="1:11" s="108" customFormat="1" ht="19.5" customHeight="1">
      <c r="A18" s="330" t="s">
        <v>33</v>
      </c>
      <c r="B18" s="304" t="s">
        <v>9</v>
      </c>
      <c r="C18" s="260">
        <f>SUM(C19:C24)</f>
        <v>199298.99999988</v>
      </c>
      <c r="D18" s="260">
        <f aca="true" t="shared" si="1" ref="D18:I18">SUM(D19:D24)</f>
        <v>66670</v>
      </c>
      <c r="E18" s="260">
        <f t="shared" si="1"/>
        <v>15933</v>
      </c>
      <c r="F18" s="260">
        <f t="shared" si="1"/>
        <v>46148</v>
      </c>
      <c r="G18" s="260">
        <f t="shared" si="1"/>
        <v>31576</v>
      </c>
      <c r="H18" s="260">
        <f t="shared" si="1"/>
        <v>38971.99999988</v>
      </c>
      <c r="I18" s="496">
        <f t="shared" si="1"/>
        <v>224896</v>
      </c>
      <c r="J18" s="628"/>
      <c r="K18" s="618"/>
    </row>
    <row r="19" spans="1:14" s="114" customFormat="1" ht="21" customHeight="1">
      <c r="A19" s="307" t="s">
        <v>4</v>
      </c>
      <c r="B19" s="148" t="s">
        <v>9</v>
      </c>
      <c r="C19" s="112">
        <f>SUM(D19:H19)</f>
        <v>52095</v>
      </c>
      <c r="D19" s="112">
        <v>24696</v>
      </c>
      <c r="E19" s="112">
        <v>3537</v>
      </c>
      <c r="F19" s="112">
        <v>10245</v>
      </c>
      <c r="G19" s="112">
        <f>226.666666666667*12</f>
        <v>2720</v>
      </c>
      <c r="H19" s="112">
        <f>908.083333333333*12</f>
        <v>10896.999999999996</v>
      </c>
      <c r="I19" s="497">
        <v>63124</v>
      </c>
      <c r="J19" s="464">
        <f>+ROUND(C8*N19,0)</f>
        <v>115219</v>
      </c>
      <c r="K19" s="465">
        <f>+ROUND(J19-C19,0)</f>
        <v>63124</v>
      </c>
      <c r="L19" s="501">
        <v>9.02</v>
      </c>
      <c r="M19" s="502">
        <f>+L19*0.1</f>
        <v>0.902</v>
      </c>
      <c r="N19" s="499">
        <f>+L19-M19</f>
        <v>8.118</v>
      </c>
    </row>
    <row r="20" spans="1:14" s="114" customFormat="1" ht="21" customHeight="1">
      <c r="A20" s="307" t="s">
        <v>145</v>
      </c>
      <c r="B20" s="148" t="s">
        <v>9</v>
      </c>
      <c r="C20" s="112">
        <f>SUM(D20:H20)</f>
        <v>5034</v>
      </c>
      <c r="D20" s="112">
        <v>1397</v>
      </c>
      <c r="E20" s="112">
        <v>711</v>
      </c>
      <c r="F20" s="112">
        <v>2059</v>
      </c>
      <c r="G20" s="112">
        <v>20</v>
      </c>
      <c r="H20" s="112">
        <v>847</v>
      </c>
      <c r="I20" s="497">
        <v>5593</v>
      </c>
      <c r="J20" s="464">
        <f>+ROUND(C9*N20,0)</f>
        <v>10627</v>
      </c>
      <c r="K20" s="465">
        <f>+ROUND(J20-C20,0)</f>
        <v>5593</v>
      </c>
      <c r="L20" s="501">
        <v>4.14</v>
      </c>
      <c r="M20" s="502">
        <f>+L20*0.1</f>
        <v>0.414</v>
      </c>
      <c r="N20" s="499">
        <f>+L20-M20</f>
        <v>3.7259999999999995</v>
      </c>
    </row>
    <row r="21" spans="1:14" s="114" customFormat="1" ht="21" customHeight="1">
      <c r="A21" s="307" t="s">
        <v>10</v>
      </c>
      <c r="B21" s="148" t="s">
        <v>9</v>
      </c>
      <c r="C21" s="112">
        <f>SUM(D21:H21)</f>
        <v>50105.99999988</v>
      </c>
      <c r="D21" s="112">
        <v>9497</v>
      </c>
      <c r="E21" s="112">
        <v>1489</v>
      </c>
      <c r="F21" s="112">
        <v>4312</v>
      </c>
      <c r="G21" s="112">
        <v>25580</v>
      </c>
      <c r="H21" s="112">
        <f>768.99999999*12</f>
        <v>9227.99999988</v>
      </c>
      <c r="I21" s="497">
        <v>72460</v>
      </c>
      <c r="J21" s="464">
        <f>+ROUND(C10*N21,0)</f>
        <v>122566</v>
      </c>
      <c r="K21" s="465">
        <f>+ROUND(J21-C21,0)</f>
        <v>72460</v>
      </c>
      <c r="L21" s="501">
        <v>22.8</v>
      </c>
      <c r="M21" s="502">
        <f>+L21*0.1</f>
        <v>2.2800000000000002</v>
      </c>
      <c r="N21" s="499">
        <f>+L21-M21</f>
        <v>20.52</v>
      </c>
    </row>
    <row r="22" spans="1:14" s="114" customFormat="1" ht="21" customHeight="1">
      <c r="A22" s="307" t="s">
        <v>5</v>
      </c>
      <c r="B22" s="148" t="s">
        <v>9</v>
      </c>
      <c r="C22" s="112">
        <f>SUM(D22:H22)</f>
        <v>70276</v>
      </c>
      <c r="D22" s="112">
        <v>16440</v>
      </c>
      <c r="E22" s="112">
        <v>8362</v>
      </c>
      <c r="F22" s="112">
        <v>24218</v>
      </c>
      <c r="G22" s="112">
        <v>3256</v>
      </c>
      <c r="H22" s="112">
        <f>1500*12</f>
        <v>18000</v>
      </c>
      <c r="I22" s="497">
        <v>83719</v>
      </c>
      <c r="J22" s="464">
        <f>+ROUND(C11*N22,0)</f>
        <v>153995</v>
      </c>
      <c r="K22" s="465">
        <f>+ROUND(J22-C22,0)</f>
        <v>83719</v>
      </c>
      <c r="L22" s="501">
        <v>5.1</v>
      </c>
      <c r="M22" s="502">
        <f>+L22*0.1</f>
        <v>0.51</v>
      </c>
      <c r="N22" s="499">
        <f>+L22-M22</f>
        <v>4.59</v>
      </c>
    </row>
    <row r="23" spans="1:10" s="108" customFormat="1" ht="16.5" customHeight="1">
      <c r="A23" s="312" t="s">
        <v>120</v>
      </c>
      <c r="B23" s="148" t="s">
        <v>9</v>
      </c>
      <c r="C23" s="120">
        <f>ROUND(C12*3,0)</f>
        <v>20010</v>
      </c>
      <c r="D23" s="112">
        <v>13533</v>
      </c>
      <c r="E23" s="112">
        <v>1662</v>
      </c>
      <c r="F23" s="112">
        <v>4815</v>
      </c>
      <c r="G23" s="112"/>
      <c r="H23" s="112"/>
      <c r="I23" s="112"/>
      <c r="J23" s="442"/>
    </row>
    <row r="24" spans="1:10" s="108" customFormat="1" ht="21" customHeight="1" thickBot="1">
      <c r="A24" s="422" t="str">
        <f>+A13</f>
        <v>"Еридатранс" ООД</v>
      </c>
      <c r="B24" s="337" t="s">
        <v>9</v>
      </c>
      <c r="C24" s="423">
        <f>ROUND(C13*2.57,0)</f>
        <v>1778</v>
      </c>
      <c r="D24" s="124">
        <v>1107</v>
      </c>
      <c r="E24" s="423">
        <v>172</v>
      </c>
      <c r="F24" s="423">
        <v>499</v>
      </c>
      <c r="G24" s="423"/>
      <c r="H24" s="423"/>
      <c r="I24" s="423"/>
      <c r="J24" s="441"/>
    </row>
    <row r="25" spans="1:10" ht="14.25" customHeight="1" thickBot="1">
      <c r="A25" s="338"/>
      <c r="B25" s="182"/>
      <c r="C25" s="261"/>
      <c r="D25" s="168"/>
      <c r="E25" s="168"/>
      <c r="F25" s="262"/>
      <c r="G25" s="168"/>
      <c r="H25" s="168"/>
      <c r="I25" s="170"/>
      <c r="J25" s="309"/>
    </row>
    <row r="26" spans="1:13" ht="44.25" customHeight="1">
      <c r="A26" s="600" t="s">
        <v>0</v>
      </c>
      <c r="B26" s="602" t="s">
        <v>1</v>
      </c>
      <c r="C26" s="593" t="s">
        <v>45</v>
      </c>
      <c r="D26" s="593" t="s">
        <v>67</v>
      </c>
      <c r="E26" s="593" t="s">
        <v>26</v>
      </c>
      <c r="F26" s="593" t="s">
        <v>40</v>
      </c>
      <c r="G26" s="593" t="s">
        <v>27</v>
      </c>
      <c r="H26" s="593" t="s">
        <v>28</v>
      </c>
      <c r="I26" s="593" t="s">
        <v>37</v>
      </c>
      <c r="J26" s="576" t="s">
        <v>29</v>
      </c>
      <c r="M26" s="28"/>
    </row>
    <row r="27" spans="1:10" ht="87.75" customHeight="1" thickBot="1">
      <c r="A27" s="601"/>
      <c r="B27" s="603"/>
      <c r="C27" s="594"/>
      <c r="D27" s="594"/>
      <c r="E27" s="594"/>
      <c r="F27" s="594"/>
      <c r="G27" s="594"/>
      <c r="H27" s="594"/>
      <c r="I27" s="594"/>
      <c r="J27" s="577"/>
    </row>
    <row r="28" spans="1:10" ht="16.5" customHeight="1" thickBot="1">
      <c r="A28" s="340">
        <v>1</v>
      </c>
      <c r="B28" s="301">
        <v>2</v>
      </c>
      <c r="C28" s="263">
        <v>3</v>
      </c>
      <c r="D28" s="263">
        <v>4</v>
      </c>
      <c r="E28" s="263">
        <v>5</v>
      </c>
      <c r="F28" s="263">
        <v>6</v>
      </c>
      <c r="G28" s="263">
        <v>7</v>
      </c>
      <c r="H28" s="263">
        <v>8</v>
      </c>
      <c r="I28" s="263">
        <v>9</v>
      </c>
      <c r="J28" s="263">
        <v>9</v>
      </c>
    </row>
    <row r="29" spans="1:10" ht="16.5" customHeight="1">
      <c r="A29" s="341" t="s">
        <v>34</v>
      </c>
      <c r="B29" s="329"/>
      <c r="C29" s="297"/>
      <c r="D29" s="297"/>
      <c r="E29" s="297"/>
      <c r="F29" s="297"/>
      <c r="G29" s="297"/>
      <c r="H29" s="297"/>
      <c r="I29" s="297"/>
      <c r="J29" s="297"/>
    </row>
    <row r="30" spans="1:13" s="6" customFormat="1" ht="12" customHeight="1">
      <c r="A30" s="344" t="s">
        <v>35</v>
      </c>
      <c r="B30" s="319" t="s">
        <v>11</v>
      </c>
      <c r="C30" s="276">
        <f>+D30+J30</f>
        <v>8.117544564221799</v>
      </c>
      <c r="D30" s="81">
        <f>E30+F30+G30+H30+I30</f>
        <v>3.67</v>
      </c>
      <c r="E30" s="81">
        <f aca="true" t="shared" si="2" ref="E30:E35">ROUND(D19/C8,2)</f>
        <v>1.74</v>
      </c>
      <c r="F30" s="81">
        <f aca="true" t="shared" si="3" ref="F30:F35">ROUND(E19/C8,2)</f>
        <v>0.25</v>
      </c>
      <c r="G30" s="81">
        <f aca="true" t="shared" si="4" ref="G30:G35">ROUND(F19/C8,2)</f>
        <v>0.72</v>
      </c>
      <c r="H30" s="81">
        <f>ROUND(G19/C8,2)</f>
        <v>0.19</v>
      </c>
      <c r="I30" s="81">
        <f>ROUND(H19/C8,2)</f>
        <v>0.77</v>
      </c>
      <c r="J30" s="81">
        <f>I19/C8</f>
        <v>4.4475445642218</v>
      </c>
      <c r="L30" s="461"/>
      <c r="M30" s="462"/>
    </row>
    <row r="31" spans="1:13" s="6" customFormat="1" ht="12" customHeight="1">
      <c r="A31" s="344" t="s">
        <v>146</v>
      </c>
      <c r="B31" s="319" t="s">
        <v>11</v>
      </c>
      <c r="C31" s="276">
        <f>+D31+J31</f>
        <v>3.7310799438990183</v>
      </c>
      <c r="D31" s="81">
        <f>E31+F31+G31+H31+I31</f>
        <v>1.77</v>
      </c>
      <c r="E31" s="81">
        <f t="shared" si="2"/>
        <v>0.49</v>
      </c>
      <c r="F31" s="81">
        <f t="shared" si="3"/>
        <v>0.25</v>
      </c>
      <c r="G31" s="81">
        <f t="shared" si="4"/>
        <v>0.72</v>
      </c>
      <c r="H31" s="81">
        <f>ROUND(G20/C9,2)</f>
        <v>0.01</v>
      </c>
      <c r="I31" s="81">
        <f>ROUND(H20/C9,2)</f>
        <v>0.3</v>
      </c>
      <c r="J31" s="81">
        <f>I20/C9</f>
        <v>1.9610799438990183</v>
      </c>
      <c r="L31" s="461"/>
      <c r="M31" s="462"/>
    </row>
    <row r="32" spans="1:13" s="6" customFormat="1" ht="12" customHeight="1">
      <c r="A32" s="347" t="s">
        <v>36</v>
      </c>
      <c r="B32" s="319" t="s">
        <v>11</v>
      </c>
      <c r="C32" s="253">
        <f>D32+J32</f>
        <v>20.51125732462749</v>
      </c>
      <c r="D32" s="81">
        <f>E32+F32+G32+H32+I32</f>
        <v>8.379999999999999</v>
      </c>
      <c r="E32" s="81">
        <f t="shared" si="2"/>
        <v>1.59</v>
      </c>
      <c r="F32" s="81">
        <f t="shared" si="3"/>
        <v>0.25</v>
      </c>
      <c r="G32" s="81">
        <f t="shared" si="4"/>
        <v>0.72</v>
      </c>
      <c r="H32" s="81">
        <f>ROUND(G21/C10,2)</f>
        <v>4.28</v>
      </c>
      <c r="I32" s="81">
        <f>ROUND(H21/C10,2)</f>
        <v>1.54</v>
      </c>
      <c r="J32" s="81">
        <f>I21/C10</f>
        <v>12.13125732462749</v>
      </c>
      <c r="L32" s="461"/>
      <c r="M32" s="462"/>
    </row>
    <row r="33" spans="1:13" s="6" customFormat="1" ht="12" customHeight="1">
      <c r="A33" s="347" t="str">
        <f>A22</f>
        <v>"Столичен автотранспорт" ЕАД</v>
      </c>
      <c r="B33" s="319" t="s">
        <v>11</v>
      </c>
      <c r="C33" s="253">
        <f>D33+J33</f>
        <v>4.595350223546944</v>
      </c>
      <c r="D33" s="81">
        <f>E33+F33+G33+H33+I33</f>
        <v>2.1</v>
      </c>
      <c r="E33" s="81">
        <f t="shared" si="2"/>
        <v>0.49</v>
      </c>
      <c r="F33" s="81">
        <f t="shared" si="3"/>
        <v>0.25</v>
      </c>
      <c r="G33" s="81">
        <f t="shared" si="4"/>
        <v>0.72</v>
      </c>
      <c r="H33" s="81">
        <f>ROUND(G22/C11,2)</f>
        <v>0.1</v>
      </c>
      <c r="I33" s="81">
        <f>ROUND(H22/C11,2)</f>
        <v>0.54</v>
      </c>
      <c r="J33" s="81">
        <f>I22/C11</f>
        <v>2.4953502235469447</v>
      </c>
      <c r="L33" s="461"/>
      <c r="M33" s="462"/>
    </row>
    <row r="34" spans="1:10" s="6" customFormat="1" ht="12" customHeight="1">
      <c r="A34" s="347" t="str">
        <f>A23</f>
        <v>"MTK Гроуп" ООД</v>
      </c>
      <c r="B34" s="319" t="s">
        <v>11</v>
      </c>
      <c r="C34" s="33">
        <v>3</v>
      </c>
      <c r="D34" s="81">
        <v>3</v>
      </c>
      <c r="E34" s="81">
        <f t="shared" si="2"/>
        <v>2.03</v>
      </c>
      <c r="F34" s="81">
        <f t="shared" si="3"/>
        <v>0.25</v>
      </c>
      <c r="G34" s="81">
        <f t="shared" si="4"/>
        <v>0.72</v>
      </c>
      <c r="H34" s="265"/>
      <c r="I34" s="33"/>
      <c r="J34" s="33"/>
    </row>
    <row r="35" spans="1:10" ht="12" customHeight="1" thickBot="1">
      <c r="A35" s="414" t="str">
        <f>+A24</f>
        <v>"Еридатранс" ООД</v>
      </c>
      <c r="B35" s="415" t="s">
        <v>11</v>
      </c>
      <c r="C35" s="416">
        <v>2.57</v>
      </c>
      <c r="D35" s="416">
        <v>2.57</v>
      </c>
      <c r="E35" s="82">
        <f t="shared" si="2"/>
        <v>1.6</v>
      </c>
      <c r="F35" s="82">
        <f t="shared" si="3"/>
        <v>0.25</v>
      </c>
      <c r="G35" s="82">
        <f t="shared" si="4"/>
        <v>0.72</v>
      </c>
      <c r="H35" s="417"/>
      <c r="I35" s="418"/>
      <c r="J35" s="418"/>
    </row>
    <row r="36" spans="1:10" ht="14.25" customHeight="1" thickBot="1">
      <c r="A36" s="350"/>
      <c r="B36" s="351"/>
      <c r="C36" s="270"/>
      <c r="D36" s="439"/>
      <c r="E36" s="389"/>
      <c r="F36" s="389"/>
      <c r="G36" s="389"/>
      <c r="H36" s="389"/>
      <c r="I36" s="389"/>
      <c r="J36" s="389"/>
    </row>
    <row r="37" spans="1:10" ht="19.5" customHeight="1">
      <c r="A37" s="352" t="s">
        <v>12</v>
      </c>
      <c r="B37" s="353" t="s">
        <v>9</v>
      </c>
      <c r="C37" s="271">
        <f>C38+C40+C43+C45</f>
        <v>199298.99999988</v>
      </c>
      <c r="D37" s="448"/>
      <c r="E37" s="449"/>
      <c r="F37" s="449"/>
      <c r="G37" s="449"/>
      <c r="H37" s="449"/>
      <c r="I37" s="449"/>
      <c r="J37" s="449"/>
    </row>
    <row r="38" spans="1:10" ht="16.5" customHeight="1">
      <c r="A38" s="307" t="s">
        <v>18</v>
      </c>
      <c r="B38" s="148" t="s">
        <v>9</v>
      </c>
      <c r="C38" s="120">
        <f>C39</f>
        <v>66670</v>
      </c>
      <c r="D38" s="380"/>
      <c r="E38" s="449"/>
      <c r="F38" s="450"/>
      <c r="G38" s="449"/>
      <c r="H38" s="449"/>
      <c r="I38" s="449"/>
      <c r="J38" s="449"/>
    </row>
    <row r="39" spans="1:10" ht="12.75" customHeight="1">
      <c r="A39" s="318" t="s">
        <v>136</v>
      </c>
      <c r="B39" s="319" t="s">
        <v>9</v>
      </c>
      <c r="C39" s="275">
        <f>+D18</f>
        <v>66670</v>
      </c>
      <c r="D39" s="466" t="s">
        <v>167</v>
      </c>
      <c r="E39" s="220"/>
      <c r="F39" s="220"/>
      <c r="G39" s="449"/>
      <c r="H39" s="492" t="s">
        <v>163</v>
      </c>
      <c r="I39" s="451"/>
      <c r="J39" s="395"/>
    </row>
    <row r="40" spans="1:10" ht="12.75" customHeight="1">
      <c r="A40" s="355" t="s">
        <v>13</v>
      </c>
      <c r="B40" s="319" t="s">
        <v>9</v>
      </c>
      <c r="C40" s="356">
        <f>C41</f>
        <v>46148</v>
      </c>
      <c r="D40" s="382"/>
      <c r="E40" s="452"/>
      <c r="F40" s="452"/>
      <c r="G40" s="453"/>
      <c r="H40" s="453"/>
      <c r="I40" s="454"/>
      <c r="J40" s="452"/>
    </row>
    <row r="41" spans="1:10" ht="15" customHeight="1">
      <c r="A41" s="357" t="s">
        <v>31</v>
      </c>
      <c r="B41" s="319" t="s">
        <v>9</v>
      </c>
      <c r="C41" s="358">
        <f>+F18</f>
        <v>46148</v>
      </c>
      <c r="D41" s="466" t="s">
        <v>168</v>
      </c>
      <c r="E41" s="455"/>
      <c r="F41" s="452"/>
      <c r="G41" s="453"/>
      <c r="H41" s="492" t="s">
        <v>164</v>
      </c>
      <c r="I41" s="454"/>
      <c r="J41" s="452"/>
    </row>
    <row r="42" spans="1:12" ht="12" customHeight="1" hidden="1">
      <c r="A42" s="357" t="s">
        <v>14</v>
      </c>
      <c r="B42" s="319" t="s">
        <v>9</v>
      </c>
      <c r="C42" s="358"/>
      <c r="D42" s="383"/>
      <c r="E42" s="469"/>
      <c r="F42" s="470"/>
      <c r="G42" s="469"/>
      <c r="H42" s="493" t="s">
        <v>164</v>
      </c>
      <c r="I42" s="469"/>
      <c r="J42" s="469"/>
      <c r="K42" s="471"/>
      <c r="L42" s="471"/>
    </row>
    <row r="43" spans="1:12" ht="13.5" customHeight="1">
      <c r="A43" s="355" t="s">
        <v>15</v>
      </c>
      <c r="B43" s="319" t="s">
        <v>9</v>
      </c>
      <c r="C43" s="356">
        <f>C44</f>
        <v>15933</v>
      </c>
      <c r="D43" s="382"/>
      <c r="E43" s="491"/>
      <c r="F43" s="472"/>
      <c r="G43" s="473"/>
      <c r="H43" s="493"/>
      <c r="I43" s="474"/>
      <c r="J43" s="469"/>
      <c r="K43" s="471"/>
      <c r="L43" s="471"/>
    </row>
    <row r="44" spans="1:12" ht="12" customHeight="1">
      <c r="A44" s="318" t="s">
        <v>42</v>
      </c>
      <c r="B44" s="319" t="s">
        <v>9</v>
      </c>
      <c r="C44" s="275">
        <f>+E18</f>
        <v>15933</v>
      </c>
      <c r="D44" s="466" t="s">
        <v>169</v>
      </c>
      <c r="E44" s="491"/>
      <c r="F44" s="472"/>
      <c r="G44" s="475"/>
      <c r="H44" s="492" t="s">
        <v>165</v>
      </c>
      <c r="I44" s="476"/>
      <c r="J44" s="469"/>
      <c r="K44" s="471"/>
      <c r="L44" s="471"/>
    </row>
    <row r="45" spans="1:12" ht="15" customHeight="1">
      <c r="A45" s="355" t="s">
        <v>16</v>
      </c>
      <c r="B45" s="319" t="s">
        <v>9</v>
      </c>
      <c r="C45" s="356">
        <f>C46+C47+C48</f>
        <v>70547.99999988</v>
      </c>
      <c r="D45" s="382"/>
      <c r="E45" s="475"/>
      <c r="F45" s="477"/>
      <c r="G45" s="478"/>
      <c r="H45" s="475"/>
      <c r="I45" s="479"/>
      <c r="J45" s="480"/>
      <c r="K45" s="471"/>
      <c r="L45" s="471"/>
    </row>
    <row r="46" spans="1:12" s="6" customFormat="1" ht="12" customHeight="1">
      <c r="A46" s="361" t="s">
        <v>4</v>
      </c>
      <c r="B46" s="319" t="s">
        <v>9</v>
      </c>
      <c r="C46" s="275">
        <f>+G19+G20+H19+H20</f>
        <v>14483.999999999996</v>
      </c>
      <c r="D46" s="381"/>
      <c r="E46" s="475"/>
      <c r="F46" s="477"/>
      <c r="G46" s="478"/>
      <c r="H46" s="475"/>
      <c r="I46" s="479"/>
      <c r="J46" s="480"/>
      <c r="K46" s="481"/>
      <c r="L46" s="481"/>
    </row>
    <row r="47" spans="1:12" s="6" customFormat="1" ht="12" customHeight="1">
      <c r="A47" s="361" t="s">
        <v>5</v>
      </c>
      <c r="B47" s="319" t="s">
        <v>9</v>
      </c>
      <c r="C47" s="275">
        <f>+G22+H22</f>
        <v>21256</v>
      </c>
      <c r="D47" s="183"/>
      <c r="E47" s="475"/>
      <c r="F47" s="477"/>
      <c r="G47" s="478"/>
      <c r="H47" s="475"/>
      <c r="I47" s="479"/>
      <c r="J47" s="480"/>
      <c r="K47" s="481"/>
      <c r="L47" s="481"/>
    </row>
    <row r="48" spans="1:12" s="6" customFormat="1" ht="12" customHeight="1" thickBot="1">
      <c r="A48" s="363" t="s">
        <v>10</v>
      </c>
      <c r="B48" s="193" t="s">
        <v>9</v>
      </c>
      <c r="C48" s="364">
        <f>+G21+H21</f>
        <v>34807.99999988</v>
      </c>
      <c r="D48" s="183"/>
      <c r="E48" s="475"/>
      <c r="F48" s="477"/>
      <c r="G48" s="494"/>
      <c r="H48" s="475"/>
      <c r="I48" s="479"/>
      <c r="J48" s="480"/>
      <c r="K48" s="481"/>
      <c r="L48" s="481"/>
    </row>
    <row r="49" spans="1:12" s="6" customFormat="1" ht="12" customHeight="1" thickBot="1">
      <c r="A49" s="351"/>
      <c r="B49" s="182"/>
      <c r="C49" s="183"/>
      <c r="D49" s="183"/>
      <c r="E49" s="475"/>
      <c r="F49" s="477"/>
      <c r="G49" s="494"/>
      <c r="H49" s="475"/>
      <c r="I49" s="477"/>
      <c r="J49" s="482"/>
      <c r="K49" s="481"/>
      <c r="L49" s="481"/>
    </row>
    <row r="50" spans="1:12" s="6" customFormat="1" ht="27.75" customHeight="1">
      <c r="A50" s="165" t="s">
        <v>124</v>
      </c>
      <c r="B50" s="166"/>
      <c r="C50" s="167"/>
      <c r="D50" s="183"/>
      <c r="E50" s="483"/>
      <c r="F50" s="483"/>
      <c r="G50" s="495"/>
      <c r="H50" s="485"/>
      <c r="I50" s="484"/>
      <c r="J50" s="482"/>
      <c r="K50" s="481"/>
      <c r="L50" s="481"/>
    </row>
    <row r="51" spans="1:12" s="6" customFormat="1" ht="28.5" customHeight="1">
      <c r="A51" s="147" t="s">
        <v>55</v>
      </c>
      <c r="B51" s="171" t="s">
        <v>9</v>
      </c>
      <c r="C51" s="172">
        <v>31440</v>
      </c>
      <c r="D51" s="183"/>
      <c r="E51" s="486"/>
      <c r="F51" s="487"/>
      <c r="G51" s="488"/>
      <c r="H51" s="489"/>
      <c r="I51" s="490"/>
      <c r="J51" s="482"/>
      <c r="K51" s="481"/>
      <c r="L51" s="481"/>
    </row>
    <row r="52" spans="1:10" s="6" customFormat="1" ht="28.5" customHeight="1">
      <c r="A52" s="147" t="s">
        <v>56</v>
      </c>
      <c r="B52" s="148" t="s">
        <v>9</v>
      </c>
      <c r="C52" s="116">
        <v>16017</v>
      </c>
      <c r="D52" s="384"/>
      <c r="E52" s="446"/>
      <c r="F52" s="444"/>
      <c r="G52" s="445"/>
      <c r="H52" s="447"/>
      <c r="I52" s="443"/>
      <c r="J52" s="443"/>
    </row>
    <row r="53" spans="1:10" s="6" customFormat="1" ht="15">
      <c r="A53" s="147" t="s">
        <v>126</v>
      </c>
      <c r="B53" s="148" t="s">
        <v>9</v>
      </c>
      <c r="C53" s="116">
        <f>12*756</f>
        <v>9072</v>
      </c>
      <c r="D53" s="183"/>
      <c r="E53" s="443"/>
      <c r="F53" s="444"/>
      <c r="G53" s="445"/>
      <c r="H53" s="447"/>
      <c r="I53" s="443"/>
      <c r="J53" s="443"/>
    </row>
    <row r="54" spans="1:10" s="6" customFormat="1" ht="28.5" customHeight="1">
      <c r="A54" s="175" t="s">
        <v>162</v>
      </c>
      <c r="B54" s="148" t="s">
        <v>9</v>
      </c>
      <c r="C54" s="176">
        <f>10905+7561</f>
        <v>18466</v>
      </c>
      <c r="D54" s="384"/>
      <c r="E54" s="429"/>
      <c r="F54" s="309"/>
      <c r="G54" s="433"/>
      <c r="H54" s="365"/>
      <c r="I54" s="309"/>
      <c r="J54" s="309"/>
    </row>
    <row r="55" spans="1:10" s="6" customFormat="1" ht="28.5" customHeight="1">
      <c r="A55" s="175" t="s">
        <v>44</v>
      </c>
      <c r="B55" s="148" t="s">
        <v>9</v>
      </c>
      <c r="C55" s="176">
        <v>1067</v>
      </c>
      <c r="D55" s="366"/>
      <c r="E55" s="188"/>
      <c r="F55" s="309"/>
      <c r="G55" s="433"/>
      <c r="H55" s="365"/>
      <c r="I55" s="309"/>
      <c r="J55" s="309"/>
    </row>
    <row r="56" spans="1:10" s="6" customFormat="1" ht="28.5" customHeight="1" thickBot="1">
      <c r="A56" s="178" t="s">
        <v>53</v>
      </c>
      <c r="B56" s="179"/>
      <c r="C56" s="180">
        <v>37500</v>
      </c>
      <c r="D56" s="384"/>
      <c r="E56" s="429"/>
      <c r="F56" s="309"/>
      <c r="G56" s="433"/>
      <c r="H56" s="365"/>
      <c r="I56" s="309"/>
      <c r="J56" s="309"/>
    </row>
    <row r="57" spans="1:10" s="6" customFormat="1" ht="12" customHeight="1" thickBot="1">
      <c r="A57" s="351"/>
      <c r="B57" s="182"/>
      <c r="C57" s="183"/>
      <c r="D57" s="366"/>
      <c r="E57" s="188"/>
      <c r="F57" s="309"/>
      <c r="G57" s="433"/>
      <c r="H57" s="365"/>
      <c r="I57" s="309"/>
      <c r="J57" s="309"/>
    </row>
    <row r="58" spans="1:10" s="168" customFormat="1" ht="21.75" customHeight="1" thickBot="1">
      <c r="A58" s="196" t="s">
        <v>151</v>
      </c>
      <c r="B58" s="369" t="s">
        <v>9</v>
      </c>
      <c r="C58" s="197">
        <f>(C18-C37)</f>
        <v>0</v>
      </c>
      <c r="D58" s="395"/>
      <c r="E58" s="395"/>
      <c r="F58" s="395"/>
      <c r="G58" s="434"/>
      <c r="H58" s="395"/>
      <c r="I58" s="395"/>
      <c r="J58" s="395"/>
    </row>
    <row r="59" spans="1:10" s="170" customFormat="1" ht="11.25" customHeight="1">
      <c r="A59" s="181"/>
      <c r="B59" s="182"/>
      <c r="C59" s="183"/>
      <c r="D59" s="366"/>
      <c r="E59" s="435"/>
      <c r="F59" s="435"/>
      <c r="G59" s="436"/>
      <c r="H59" s="435"/>
      <c r="I59" s="435"/>
      <c r="J59" s="435"/>
    </row>
    <row r="60" spans="1:10" s="170" customFormat="1" ht="11.25" customHeight="1">
      <c r="A60" s="181"/>
      <c r="B60" s="182"/>
      <c r="C60" s="183"/>
      <c r="D60" s="366"/>
      <c r="E60" s="435"/>
      <c r="F60" s="435"/>
      <c r="G60" s="436"/>
      <c r="H60" s="435"/>
      <c r="I60" s="435"/>
      <c r="J60" s="435"/>
    </row>
    <row r="61" spans="1:196" s="170" customFormat="1" ht="15" customHeight="1" thickBot="1">
      <c r="A61" s="43"/>
      <c r="B61" s="43"/>
      <c r="C61" s="43"/>
      <c r="D61" s="427"/>
      <c r="E61" s="427"/>
      <c r="F61" s="427"/>
      <c r="G61" s="427"/>
      <c r="H61" s="467"/>
      <c r="I61" s="427"/>
      <c r="J61" s="427"/>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row>
    <row r="62" spans="1:10" s="168" customFormat="1" ht="38.25" customHeight="1" thickBot="1">
      <c r="A62" s="184" t="s">
        <v>128</v>
      </c>
      <c r="B62" s="185" t="s">
        <v>9</v>
      </c>
      <c r="C62" s="186">
        <f>C63+C64</f>
        <v>0</v>
      </c>
      <c r="D62" s="460"/>
      <c r="E62" s="426"/>
      <c r="F62" s="425"/>
      <c r="G62" s="424"/>
      <c r="H62" s="468"/>
      <c r="I62" s="425"/>
      <c r="J62" s="425"/>
    </row>
    <row r="63" spans="1:196" s="170" customFormat="1" ht="14.25" customHeight="1">
      <c r="A63" s="189" t="s">
        <v>68</v>
      </c>
      <c r="B63" s="190" t="s">
        <v>9</v>
      </c>
      <c r="C63" s="191"/>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row>
    <row r="64" spans="1:196" s="170" customFormat="1" ht="14.25" customHeight="1" thickBot="1">
      <c r="A64" s="192" t="s">
        <v>30</v>
      </c>
      <c r="B64" s="193" t="s">
        <v>9</v>
      </c>
      <c r="C64" s="194"/>
      <c r="D64" s="431"/>
      <c r="E64" s="431"/>
      <c r="F64" s="44"/>
      <c r="G64" s="431"/>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row>
    <row r="65" spans="1:196"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row>
    <row r="66" spans="1:196" s="170" customFormat="1" ht="14.25">
      <c r="A66" s="605" t="s">
        <v>135</v>
      </c>
      <c r="B66" s="605"/>
      <c r="C66" s="605"/>
      <c r="D66" s="605"/>
      <c r="E66" s="605"/>
      <c r="F66" s="605"/>
      <c r="G66" s="605"/>
      <c r="H66" s="605"/>
      <c r="I66" s="605"/>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row>
    <row r="67" spans="1:196" s="170" customFormat="1" ht="14.25">
      <c r="A67" s="605" t="s">
        <v>149</v>
      </c>
      <c r="B67" s="605"/>
      <c r="C67" s="605"/>
      <c r="D67" s="605"/>
      <c r="E67" s="605"/>
      <c r="F67" s="605"/>
      <c r="G67" s="605"/>
      <c r="H67" s="605"/>
      <c r="I67" s="605"/>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row>
    <row r="68" spans="1:196" s="457" customFormat="1" ht="33" customHeight="1">
      <c r="A68" s="626" t="s">
        <v>166</v>
      </c>
      <c r="B68" s="626"/>
      <c r="C68" s="626"/>
      <c r="D68" s="626"/>
      <c r="E68" s="626"/>
      <c r="F68" s="626"/>
      <c r="G68" s="626"/>
      <c r="H68" s="626"/>
      <c r="I68" s="626"/>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row>
    <row r="69" spans="1:9" s="170" customFormat="1" ht="44.25" customHeight="1">
      <c r="A69" s="626" t="s">
        <v>147</v>
      </c>
      <c r="B69" s="626"/>
      <c r="C69" s="626"/>
      <c r="D69" s="626"/>
      <c r="E69" s="626"/>
      <c r="F69" s="626"/>
      <c r="G69" s="626"/>
      <c r="H69" s="626"/>
      <c r="I69" s="626"/>
    </row>
    <row r="70" spans="1:9" s="26" customFormat="1" ht="57" customHeight="1">
      <c r="A70" s="627" t="s">
        <v>150</v>
      </c>
      <c r="B70" s="627"/>
      <c r="C70" s="627"/>
      <c r="D70" s="627"/>
      <c r="E70" s="627"/>
      <c r="F70" s="627"/>
      <c r="G70" s="627"/>
      <c r="H70" s="627"/>
      <c r="I70" s="627"/>
    </row>
    <row r="71" spans="1:3" s="26" customFormat="1" ht="65.25" customHeight="1">
      <c r="A71" s="43"/>
      <c r="B71" s="43"/>
      <c r="C71" s="50"/>
    </row>
    <row r="72" spans="1:6" s="26" customFormat="1" ht="15">
      <c r="A72" s="43"/>
      <c r="B72" s="44"/>
      <c r="C72" s="87"/>
      <c r="E72" s="187" t="s">
        <v>50</v>
      </c>
      <c r="F72" s="168"/>
    </row>
    <row r="73" spans="1:6" s="26" customFormat="1" ht="15">
      <c r="A73" s="48"/>
      <c r="B73" s="49"/>
      <c r="C73" s="149"/>
      <c r="E73" s="44"/>
      <c r="F73" s="44" t="s">
        <v>172</v>
      </c>
    </row>
    <row r="74" spans="1:3" s="26" customFormat="1" ht="15">
      <c r="A74" s="48"/>
      <c r="B74" s="49"/>
      <c r="C74" s="150"/>
    </row>
    <row r="75" spans="1:2" s="26" customFormat="1" ht="15">
      <c r="A75" s="43"/>
      <c r="B75" s="43"/>
    </row>
    <row r="76" spans="1:3" s="26" customFormat="1" ht="14.25">
      <c r="A76" s="573"/>
      <c r="B76" s="573"/>
      <c r="C76" s="87"/>
    </row>
    <row r="77" spans="1:3" s="26" customFormat="1" ht="12.75">
      <c r="A77" s="217"/>
      <c r="C77" s="152"/>
    </row>
    <row r="78" s="26" customFormat="1" ht="12.75"/>
    <row r="79" s="26" customFormat="1" ht="12.75"/>
  </sheetData>
  <sheetProtection/>
  <mergeCells count="24">
    <mergeCell ref="A1:D1"/>
    <mergeCell ref="F1:H1"/>
    <mergeCell ref="A2:D2"/>
    <mergeCell ref="A4:D4"/>
    <mergeCell ref="C5:D5"/>
    <mergeCell ref="C6:D6"/>
    <mergeCell ref="J17:J18"/>
    <mergeCell ref="K17:K18"/>
    <mergeCell ref="A26:A27"/>
    <mergeCell ref="B26:B27"/>
    <mergeCell ref="C26:C27"/>
    <mergeCell ref="D26:D27"/>
    <mergeCell ref="E26:E27"/>
    <mergeCell ref="F26:F27"/>
    <mergeCell ref="G26:G27"/>
    <mergeCell ref="H26:H27"/>
    <mergeCell ref="A70:I70"/>
    <mergeCell ref="A76:B76"/>
    <mergeCell ref="I26:I27"/>
    <mergeCell ref="J26:J27"/>
    <mergeCell ref="A66:I66"/>
    <mergeCell ref="A67:I67"/>
    <mergeCell ref="A68:I68"/>
    <mergeCell ref="A69:I69"/>
  </mergeCells>
  <printOptions/>
  <pageMargins left="0.4330708661417323" right="0.2362204724409449" top="0.35433070866141736" bottom="0.35433070866141736" header="0.31496062992125984" footer="0.31496062992125984"/>
  <pageSetup fitToHeight="1" fitToWidth="1" horizontalDpi="600" verticalDpi="600" orientation="portrait" paperSize="9" scale="51" r:id="rId1"/>
</worksheet>
</file>

<file path=xl/worksheets/sheet24.xml><?xml version="1.0" encoding="utf-8"?>
<worksheet xmlns="http://schemas.openxmlformats.org/spreadsheetml/2006/main" xmlns:r="http://schemas.openxmlformats.org/officeDocument/2006/relationships">
  <dimension ref="B8:L47"/>
  <sheetViews>
    <sheetView zoomScalePageLayoutView="0" workbookViewId="0" topLeftCell="A9">
      <selection activeCell="G62" sqref="G62"/>
    </sheetView>
  </sheetViews>
  <sheetFormatPr defaultColWidth="9.140625" defaultRowHeight="12.75"/>
  <cols>
    <col min="2" max="2" width="31.140625" style="0" bestFit="1" customWidth="1"/>
    <col min="4" max="4" width="12.8515625" style="440" bestFit="1" customWidth="1"/>
    <col min="6" max="6" width="9.140625" style="440" customWidth="1"/>
    <col min="12" max="12" width="9.140625" style="440" customWidth="1"/>
  </cols>
  <sheetData>
    <row r="8" spans="3:5" ht="12.75">
      <c r="C8">
        <v>2019</v>
      </c>
      <c r="E8">
        <v>2020</v>
      </c>
    </row>
    <row r="9" spans="2:6" ht="12.75">
      <c r="B9" t="s">
        <v>4</v>
      </c>
      <c r="C9">
        <v>30074</v>
      </c>
      <c r="D9" s="440">
        <f>+C9/C14</f>
        <v>0.33128807323279613</v>
      </c>
      <c r="E9" s="28">
        <v>42984</v>
      </c>
      <c r="F9" s="440">
        <f>+E9/E14</f>
        <v>0.4524869729985789</v>
      </c>
    </row>
    <row r="10" spans="2:6" ht="12.75">
      <c r="B10" t="s">
        <v>10</v>
      </c>
      <c r="C10">
        <v>9733</v>
      </c>
      <c r="D10" s="440">
        <f>+C10/C14</f>
        <v>0.10721642670661717</v>
      </c>
      <c r="E10" s="28">
        <v>8533</v>
      </c>
      <c r="F10" s="440">
        <f>+E10/E14</f>
        <v>0.08982578030422654</v>
      </c>
    </row>
    <row r="11" spans="2:6" ht="12.75">
      <c r="B11" t="s">
        <v>5</v>
      </c>
      <c r="C11">
        <v>38165</v>
      </c>
      <c r="D11" s="440">
        <f>+C11/C14</f>
        <v>0.42041661617775034</v>
      </c>
      <c r="E11" s="28">
        <v>31480</v>
      </c>
      <c r="F11" s="440">
        <f>+E11/E14</f>
        <v>0.33138586241381124</v>
      </c>
    </row>
    <row r="12" spans="2:6" ht="12.75">
      <c r="B12" t="s">
        <v>120</v>
      </c>
      <c r="C12">
        <v>10482</v>
      </c>
      <c r="D12" s="440">
        <f>+C12/C14</f>
        <v>0.11546723361129776</v>
      </c>
      <c r="E12" s="28">
        <v>11050</v>
      </c>
      <c r="F12" s="440">
        <f>+E12/E14</f>
        <v>0.11632191167956209</v>
      </c>
    </row>
    <row r="13" spans="2:6" ht="12.75">
      <c r="B13" t="s">
        <v>148</v>
      </c>
      <c r="C13">
        <v>2325</v>
      </c>
      <c r="D13" s="440">
        <f>+C13/C14</f>
        <v>0.025611650271538573</v>
      </c>
      <c r="E13" s="28">
        <v>948</v>
      </c>
      <c r="F13" s="440">
        <f>+E13/E14</f>
        <v>0.009979472603821253</v>
      </c>
    </row>
    <row r="14" spans="3:5" ht="12.75">
      <c r="C14">
        <f>SUM(C9:C13)</f>
        <v>90779</v>
      </c>
      <c r="E14">
        <f>SUM(E9:E13)</f>
        <v>94995</v>
      </c>
    </row>
    <row r="17" spans="3:5" ht="12.75">
      <c r="C17">
        <v>2019</v>
      </c>
      <c r="E17">
        <v>2020</v>
      </c>
    </row>
    <row r="18" spans="2:6" ht="12.75">
      <c r="B18" t="s">
        <v>4</v>
      </c>
      <c r="C18">
        <v>29161</v>
      </c>
      <c r="D18" s="440">
        <f>+C18/C23</f>
        <v>0.3235330012315134</v>
      </c>
      <c r="E18" s="28">
        <v>42984</v>
      </c>
      <c r="F18" s="440">
        <f>+E18/E23</f>
        <v>0.4524869729985789</v>
      </c>
    </row>
    <row r="19" spans="2:6" ht="12.75">
      <c r="B19" t="s">
        <v>10</v>
      </c>
      <c r="C19">
        <v>9228</v>
      </c>
      <c r="D19" s="440">
        <f>+C19/C23</f>
        <v>0.10238203543652158</v>
      </c>
      <c r="E19" s="28">
        <v>8533</v>
      </c>
      <c r="F19" s="440">
        <f>+E19/E23</f>
        <v>0.08982578030422654</v>
      </c>
    </row>
    <row r="20" spans="2:12" ht="12.75">
      <c r="B20" t="s">
        <v>5</v>
      </c>
      <c r="C20">
        <v>35268</v>
      </c>
      <c r="D20" s="440">
        <f>+C20/C23</f>
        <v>0.39128842932111435</v>
      </c>
      <c r="E20" s="28">
        <v>31480</v>
      </c>
      <c r="F20" s="440">
        <f>+E20/E23</f>
        <v>0.33138586241381124</v>
      </c>
      <c r="I20">
        <v>2.02</v>
      </c>
      <c r="J20">
        <v>14888</v>
      </c>
      <c r="K20">
        <v>30074</v>
      </c>
      <c r="L20" s="440">
        <f>+K20/K25</f>
        <v>0.33130267144037456</v>
      </c>
    </row>
    <row r="21" spans="2:12" ht="12.75">
      <c r="B21" t="s">
        <v>120</v>
      </c>
      <c r="C21">
        <v>10437</v>
      </c>
      <c r="D21" s="440">
        <f>+C21/C23</f>
        <v>0.1157955465811634</v>
      </c>
      <c r="E21" s="28">
        <v>11050</v>
      </c>
      <c r="F21" s="440">
        <f>+E21/E23</f>
        <v>0.11632191167956209</v>
      </c>
      <c r="I21">
        <v>2.05</v>
      </c>
      <c r="J21">
        <v>4748</v>
      </c>
      <c r="K21">
        <v>9733</v>
      </c>
      <c r="L21" s="440">
        <f>+K21/K25</f>
        <v>0.10722115119801708</v>
      </c>
    </row>
    <row r="22" spans="2:12" ht="12.75">
      <c r="B22" t="s">
        <v>148</v>
      </c>
      <c r="C22">
        <f>5131+908</f>
        <v>6039</v>
      </c>
      <c r="D22" s="440">
        <f>+C22/C23</f>
        <v>0.06700098742968724</v>
      </c>
      <c r="E22" s="28">
        <v>948</v>
      </c>
      <c r="F22" s="440">
        <f>+E22/E23</f>
        <v>0.009979472603821253</v>
      </c>
      <c r="I22">
        <v>1.08</v>
      </c>
      <c r="J22">
        <v>35338</v>
      </c>
      <c r="K22">
        <v>38161</v>
      </c>
      <c r="L22" s="440">
        <f>+K22/K25</f>
        <v>0.42039107683833654</v>
      </c>
    </row>
    <row r="23" spans="3:12" ht="12.75">
      <c r="C23">
        <f>SUM(C18:C22)</f>
        <v>90133</v>
      </c>
      <c r="E23">
        <f>SUM(E18:E22)</f>
        <v>94995</v>
      </c>
      <c r="I23">
        <v>1.74</v>
      </c>
      <c r="J23">
        <v>6040</v>
      </c>
      <c r="K23">
        <v>10482</v>
      </c>
      <c r="L23" s="440">
        <f>+K23/K25</f>
        <v>0.11547232167446984</v>
      </c>
    </row>
    <row r="24" spans="9:12" ht="12.75">
      <c r="I24">
        <v>1.74</v>
      </c>
      <c r="J24">
        <v>1340</v>
      </c>
      <c r="K24">
        <v>2325</v>
      </c>
      <c r="L24" s="440">
        <f>+K24/K25</f>
        <v>0.025612778848801983</v>
      </c>
    </row>
    <row r="25" ht="12.75">
      <c r="K25">
        <f>SUM(K20:K24)</f>
        <v>90775</v>
      </c>
    </row>
    <row r="42" spans="2:6" ht="12.75">
      <c r="B42" s="220" t="s">
        <v>152</v>
      </c>
      <c r="C42" s="220" t="s">
        <v>156</v>
      </c>
      <c r="D42" s="458" t="s">
        <v>157</v>
      </c>
      <c r="E42" s="220" t="s">
        <v>158</v>
      </c>
      <c r="F42" s="458" t="s">
        <v>159</v>
      </c>
    </row>
    <row r="43" spans="2:7" ht="12.75">
      <c r="B43" s="220" t="s">
        <v>153</v>
      </c>
      <c r="C43">
        <f>6289+410</f>
        <v>6699</v>
      </c>
      <c r="D43" s="228">
        <f>+C43/2</f>
        <v>3349.5</v>
      </c>
      <c r="E43">
        <v>984</v>
      </c>
      <c r="F43" s="459">
        <f>+D43-E43</f>
        <v>2365.5</v>
      </c>
      <c r="G43" s="440">
        <f>+F43/D43</f>
        <v>0.7062248096730855</v>
      </c>
    </row>
    <row r="44" spans="2:7" ht="12.75">
      <c r="B44" s="220" t="s">
        <v>154</v>
      </c>
      <c r="C44">
        <v>39189</v>
      </c>
      <c r="D44" s="228">
        <f>+C44/2</f>
        <v>19594.5</v>
      </c>
      <c r="E44">
        <v>12539</v>
      </c>
      <c r="F44" s="459">
        <f>+D44-E44</f>
        <v>7055.5</v>
      </c>
      <c r="G44" s="440">
        <f>+F44/D44</f>
        <v>0.3600755313991171</v>
      </c>
    </row>
    <row r="45" spans="2:7" ht="12.75">
      <c r="B45" s="220" t="s">
        <v>155</v>
      </c>
      <c r="C45">
        <v>8002</v>
      </c>
      <c r="D45" s="228">
        <f>+C45/2</f>
        <v>4001</v>
      </c>
      <c r="E45">
        <v>3200</v>
      </c>
      <c r="F45" s="459">
        <f>+D45-E45</f>
        <v>801</v>
      </c>
      <c r="G45" s="440">
        <f>+F45/D45</f>
        <v>0.20019995001249688</v>
      </c>
    </row>
    <row r="46" ht="12.75">
      <c r="D46" s="228"/>
    </row>
    <row r="47" ht="12.75">
      <c r="D47" s="228"/>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3"/>
  <sheetViews>
    <sheetView zoomScalePageLayoutView="0" workbookViewId="0" topLeftCell="A1">
      <selection activeCell="G62" sqref="G62"/>
    </sheetView>
  </sheetViews>
  <sheetFormatPr defaultColWidth="9.140625" defaultRowHeight="12.75"/>
  <cols>
    <col min="1" max="1" width="14.00390625" style="508" bestFit="1" customWidth="1"/>
  </cols>
  <sheetData>
    <row r="1" spans="1:2" ht="12.75">
      <c r="A1" s="508">
        <v>90000</v>
      </c>
      <c r="B1" s="509">
        <f>+A1/A3</f>
        <v>0.33385513654675086</v>
      </c>
    </row>
    <row r="2" spans="1:2" ht="12.75">
      <c r="A2" s="508">
        <v>179578</v>
      </c>
      <c r="B2" s="509">
        <f>+A2/A3</f>
        <v>0.6661448634532492</v>
      </c>
    </row>
    <row r="3" ht="12.75">
      <c r="A3" s="508">
        <f>SUM(A1:A2)</f>
        <v>269578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Z85"/>
  <sheetViews>
    <sheetView zoomScalePageLayoutView="0" workbookViewId="0" topLeftCell="A16">
      <selection activeCell="A16" sqref="A1:IV16384"/>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t="s">
        <v>77</v>
      </c>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59173</v>
      </c>
      <c r="D6" s="155">
        <f>D7+D8+D9+D12+D13</f>
        <v>0.9999999999999999</v>
      </c>
    </row>
    <row r="7" spans="1:20" s="6" customFormat="1" ht="21" customHeight="1">
      <c r="A7" s="58" t="s">
        <v>4</v>
      </c>
      <c r="B7" s="59" t="s">
        <v>3</v>
      </c>
      <c r="C7" s="60">
        <v>14224</v>
      </c>
      <c r="D7" s="157">
        <f>14224/59173</f>
        <v>0.240379902996299</v>
      </c>
      <c r="F7" s="55"/>
      <c r="J7" s="55"/>
      <c r="K7" s="55"/>
      <c r="L7" s="55"/>
      <c r="M7" s="35"/>
      <c r="N7" s="35"/>
      <c r="O7" s="35"/>
      <c r="P7" s="35"/>
      <c r="Q7" s="35"/>
      <c r="R7" s="35"/>
      <c r="S7" s="35"/>
      <c r="T7" s="35"/>
    </row>
    <row r="8" spans="1:20" s="6" customFormat="1" ht="21" customHeight="1">
      <c r="A8" s="58" t="s">
        <v>8</v>
      </c>
      <c r="B8" s="59" t="s">
        <v>3</v>
      </c>
      <c r="C8" s="60">
        <v>4517</v>
      </c>
      <c r="D8" s="157">
        <f>4517/59173</f>
        <v>0.07633549084886689</v>
      </c>
      <c r="E8" s="35"/>
      <c r="M8" s="35"/>
      <c r="N8" s="35"/>
      <c r="O8" s="35"/>
      <c r="P8" s="35"/>
      <c r="Q8" s="35"/>
      <c r="R8" s="35"/>
      <c r="S8" s="35"/>
      <c r="T8" s="35"/>
    </row>
    <row r="9" spans="1:20" s="6" customFormat="1" ht="21" customHeight="1">
      <c r="A9" s="58" t="s">
        <v>21</v>
      </c>
      <c r="B9" s="59" t="s">
        <v>3</v>
      </c>
      <c r="C9" s="60">
        <f>C10+C11</f>
        <v>34661</v>
      </c>
      <c r="D9" s="157">
        <f>D10+D11</f>
        <v>0.5857570175586838</v>
      </c>
      <c r="M9" s="35"/>
      <c r="N9" s="35"/>
      <c r="O9" s="35"/>
      <c r="P9" s="35"/>
      <c r="Q9" s="35"/>
      <c r="R9" s="35"/>
      <c r="S9" s="35"/>
      <c r="T9" s="35"/>
    </row>
    <row r="10" spans="1:20" s="6" customFormat="1" ht="21" customHeight="1">
      <c r="A10" s="97" t="s">
        <v>48</v>
      </c>
      <c r="B10" s="59" t="s">
        <v>3</v>
      </c>
      <c r="C10" s="85">
        <f>29082+1415+456</f>
        <v>30953</v>
      </c>
      <c r="D10" s="156">
        <f>29082/59173</f>
        <v>0.4914741520625961</v>
      </c>
      <c r="E10" s="27"/>
      <c r="M10" s="35"/>
      <c r="N10" s="35"/>
      <c r="O10" s="35"/>
      <c r="P10" s="35"/>
      <c r="Q10" s="35"/>
      <c r="R10" s="35"/>
      <c r="S10" s="35"/>
      <c r="T10" s="35"/>
    </row>
    <row r="11" spans="1:20" s="6" customFormat="1" ht="21" customHeight="1">
      <c r="A11" s="97" t="s">
        <v>64</v>
      </c>
      <c r="B11" s="59" t="s">
        <v>3</v>
      </c>
      <c r="C11" s="98">
        <f>5579-1415-456</f>
        <v>3708</v>
      </c>
      <c r="D11" s="156">
        <f>5579/59173</f>
        <v>0.09428286549608775</v>
      </c>
      <c r="M11" s="35"/>
      <c r="N11" s="35"/>
      <c r="O11" s="35"/>
      <c r="P11" s="35"/>
      <c r="Q11" s="35"/>
      <c r="R11" s="35"/>
      <c r="S11" s="35"/>
      <c r="T11" s="35"/>
    </row>
    <row r="12" spans="1:4" ht="21" customHeight="1">
      <c r="A12" s="99" t="s">
        <v>65</v>
      </c>
      <c r="B12" s="100" t="s">
        <v>3</v>
      </c>
      <c r="C12" s="101">
        <v>5117</v>
      </c>
      <c r="D12" s="157">
        <f>5117/59173</f>
        <v>0.08647525053656228</v>
      </c>
    </row>
    <row r="13" spans="1:9" ht="21" customHeight="1" thickBot="1">
      <c r="A13" s="58" t="s">
        <v>66</v>
      </c>
      <c r="B13" s="59" t="s">
        <v>3</v>
      </c>
      <c r="C13" s="102">
        <v>654</v>
      </c>
      <c r="D13" s="158">
        <f>654/59173</f>
        <v>0.011052338059587987</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214801</v>
      </c>
      <c r="D18" s="106">
        <f t="shared" si="0"/>
        <v>73705</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f>53292+142+142+130</f>
        <v>53706</v>
      </c>
      <c r="D19" s="112">
        <f>ROUND(C19-E19-F19-G19-H19,0)</f>
        <v>22372</v>
      </c>
      <c r="E19" s="112">
        <v>3347</v>
      </c>
      <c r="F19" s="112">
        <v>13375</v>
      </c>
      <c r="G19" s="112">
        <f>5842+1286</f>
        <v>7128</v>
      </c>
      <c r="H19" s="112">
        <v>7484</v>
      </c>
      <c r="I19" s="112">
        <f>26500*(58575/171094)+1350+1500-300</f>
        <v>11622.425099652823</v>
      </c>
      <c r="J19" s="107"/>
      <c r="K19" s="107">
        <f>E19+F19+G19+H19+D19</f>
        <v>53706</v>
      </c>
      <c r="L19" s="107"/>
      <c r="M19" s="109"/>
      <c r="N19" s="79"/>
      <c r="O19" s="79"/>
      <c r="P19" s="113"/>
      <c r="Q19" s="113"/>
      <c r="R19" s="113"/>
      <c r="S19" s="113"/>
      <c r="T19" s="113"/>
    </row>
    <row r="20" spans="1:20" s="114" customFormat="1" ht="21" customHeight="1">
      <c r="A20" s="58" t="s">
        <v>10</v>
      </c>
      <c r="B20" s="59" t="s">
        <v>9</v>
      </c>
      <c r="C20" s="112">
        <f>49350+1857-142-142-315</f>
        <v>50608</v>
      </c>
      <c r="D20" s="112">
        <f>ROUND(C20-E20-F20-G20-H20,0)</f>
        <v>6136</v>
      </c>
      <c r="E20" s="112">
        <v>1063</v>
      </c>
      <c r="F20" s="112">
        <v>4253</v>
      </c>
      <c r="G20" s="112">
        <f>30123+5154</f>
        <v>35277</v>
      </c>
      <c r="H20" s="112">
        <v>3879</v>
      </c>
      <c r="I20" s="112">
        <f>26500*(47355/171094)-3281-1000+300</f>
        <v>3353.608460846085</v>
      </c>
      <c r="J20" s="107"/>
      <c r="K20" s="107">
        <f>E20+F20+G20+H20+D20</f>
        <v>50608</v>
      </c>
      <c r="L20" s="107"/>
      <c r="M20" s="109"/>
      <c r="N20" s="79"/>
      <c r="O20" s="79"/>
      <c r="P20" s="113"/>
      <c r="Q20" s="113"/>
      <c r="R20" s="113"/>
      <c r="S20" s="113"/>
      <c r="T20" s="113"/>
    </row>
    <row r="21" spans="1:20" s="114" customFormat="1" ht="21" customHeight="1">
      <c r="A21" s="58" t="s">
        <v>5</v>
      </c>
      <c r="B21" s="59" t="s">
        <v>9</v>
      </c>
      <c r="C21" s="112">
        <f aca="true" t="shared" si="1" ref="C21:I21">C22+C23</f>
        <v>90589</v>
      </c>
      <c r="D21" s="112">
        <f t="shared" si="1"/>
        <v>32091</v>
      </c>
      <c r="E21" s="112">
        <f t="shared" si="1"/>
        <v>8155</v>
      </c>
      <c r="F21" s="112">
        <f t="shared" si="1"/>
        <v>32591</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f>77364+3773-1857+129+56</f>
        <v>79465</v>
      </c>
      <c r="D22" s="153">
        <f>ROUND(C22-E22-F22-G22-H22,0)</f>
        <v>25316</v>
      </c>
      <c r="E22" s="116">
        <v>7287</v>
      </c>
      <c r="F22" s="116">
        <v>29110</v>
      </c>
      <c r="G22" s="116">
        <f>7000+750+1667</f>
        <v>9417</v>
      </c>
      <c r="H22" s="116">
        <v>8335</v>
      </c>
      <c r="I22" s="153">
        <f>ROUND(26500*(65164/171094)+1731-300,0)</f>
        <v>11524</v>
      </c>
      <c r="J22" s="107"/>
      <c r="K22" s="107">
        <f>E22+F22+G22+H22+D22</f>
        <v>79465</v>
      </c>
      <c r="L22" s="107"/>
      <c r="M22" s="109"/>
      <c r="N22" s="79"/>
      <c r="O22" s="79"/>
      <c r="P22" s="111"/>
      <c r="Q22" s="111"/>
      <c r="R22" s="111"/>
      <c r="S22" s="111"/>
      <c r="T22" s="111"/>
    </row>
    <row r="23" spans="1:20" s="108" customFormat="1" ht="16.5" customHeight="1">
      <c r="A23" s="97" t="s">
        <v>64</v>
      </c>
      <c r="B23" s="59" t="s">
        <v>9</v>
      </c>
      <c r="C23" s="116">
        <f>3708*3</f>
        <v>11124</v>
      </c>
      <c r="D23" s="116">
        <f>ROUND(C23-E23-F23-G23-H23,0)</f>
        <v>6775</v>
      </c>
      <c r="E23" s="85">
        <v>868</v>
      </c>
      <c r="F23" s="85">
        <v>3481</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12195</v>
      </c>
      <c r="E24" s="60">
        <v>1205</v>
      </c>
      <c r="F24" s="60">
        <v>4817</v>
      </c>
      <c r="G24" s="60"/>
      <c r="H24" s="60"/>
      <c r="I24" s="60"/>
      <c r="J24" s="107"/>
      <c r="K24" s="107"/>
      <c r="L24" s="107"/>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911</v>
      </c>
      <c r="E25" s="125">
        <v>154</v>
      </c>
      <c r="F25" s="125">
        <v>616</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0" ht="16.5" customHeight="1">
      <c r="A30" s="11" t="s">
        <v>34</v>
      </c>
      <c r="B30" s="76"/>
      <c r="C30" s="77"/>
      <c r="D30" s="77"/>
      <c r="E30" s="77"/>
      <c r="F30" s="77"/>
      <c r="G30" s="77"/>
      <c r="H30" s="77"/>
      <c r="I30" s="77"/>
      <c r="J30" s="77"/>
    </row>
    <row r="31" spans="1:20" s="6" customFormat="1" ht="12" customHeight="1">
      <c r="A31" s="30" t="s">
        <v>35</v>
      </c>
      <c r="B31" s="31" t="s">
        <v>11</v>
      </c>
      <c r="C31" s="33">
        <f>D31+J31</f>
        <v>4.6000000000000005</v>
      </c>
      <c r="D31" s="81">
        <f>E31+F31+G31+H31+I31</f>
        <v>3.7800000000000002</v>
      </c>
      <c r="E31" s="81">
        <f>ROUND(D19/C7,2)</f>
        <v>1.57</v>
      </c>
      <c r="F31" s="81">
        <f>ROUND(E19/C7,2)</f>
        <v>0.24</v>
      </c>
      <c r="G31" s="81">
        <f>ROUND(F19/C7,2)</f>
        <v>0.94</v>
      </c>
      <c r="H31" s="81">
        <f>ROUND(G19/C7,2)</f>
        <v>0.5</v>
      </c>
      <c r="I31" s="81">
        <f>ROUND(H19/C7,2)</f>
        <v>0.53</v>
      </c>
      <c r="J31" s="81">
        <f>ROUND(I19/C7,2)</f>
        <v>0.82</v>
      </c>
      <c r="K31" s="86"/>
      <c r="L31" s="86"/>
      <c r="M31" s="89"/>
      <c r="N31" s="90"/>
      <c r="O31" s="35"/>
      <c r="P31" s="35"/>
      <c r="Q31" s="88"/>
      <c r="R31" s="35"/>
      <c r="S31" s="35"/>
      <c r="T31" s="35"/>
    </row>
    <row r="32" spans="1:20" s="6" customFormat="1" ht="12" customHeight="1">
      <c r="A32" s="13" t="s">
        <v>36</v>
      </c>
      <c r="B32" s="4" t="s">
        <v>11</v>
      </c>
      <c r="C32" s="33">
        <f>D32+J32</f>
        <v>11.95</v>
      </c>
      <c r="D32" s="81">
        <f aca="true" t="shared" si="2" ref="D32:D37">E32+F32+G32+H32+I32</f>
        <v>11.209999999999999</v>
      </c>
      <c r="E32" s="81">
        <f>ROUND(D20/C8,2)</f>
        <v>1.36</v>
      </c>
      <c r="F32" s="81">
        <f>ROUND(E20/C8,2)</f>
        <v>0.24</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2.95</v>
      </c>
      <c r="D33" s="81">
        <f t="shared" si="2"/>
        <v>2.62</v>
      </c>
      <c r="E33" s="81">
        <f>ROUND(D21/C9,2)</f>
        <v>0.93</v>
      </c>
      <c r="F33" s="81">
        <f>ROUND(E21/C9,2)</f>
        <v>0.24</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2.9395858236681423</v>
      </c>
      <c r="D34" s="81">
        <f t="shared" si="2"/>
        <v>2.5672794236422964</v>
      </c>
      <c r="E34" s="81">
        <f>D22/C10</f>
        <v>0.8178851807579233</v>
      </c>
      <c r="F34" s="81">
        <f>E22/C10</f>
        <v>0.2354214454172455</v>
      </c>
      <c r="G34" s="81">
        <f>F22/C10</f>
        <v>0.9404581139146447</v>
      </c>
      <c r="H34" s="81">
        <f>G22/C10</f>
        <v>0.3042354537524634</v>
      </c>
      <c r="I34" s="81">
        <f>H22/C10</f>
        <v>0.2692792298000194</v>
      </c>
      <c r="J34" s="81">
        <f>I22/C10</f>
        <v>0.37230640002584564</v>
      </c>
      <c r="K34" s="86"/>
      <c r="L34" s="86"/>
      <c r="M34" s="89"/>
      <c r="N34" s="90"/>
      <c r="O34" s="35"/>
      <c r="P34" s="35"/>
      <c r="Q34" s="88"/>
      <c r="R34" s="35"/>
      <c r="S34" s="35"/>
      <c r="T34" s="35"/>
    </row>
    <row r="35" spans="1:20" s="6" customFormat="1" ht="12" customHeight="1">
      <c r="A35" s="13" t="s">
        <v>64</v>
      </c>
      <c r="B35" s="4" t="s">
        <v>11</v>
      </c>
      <c r="C35" s="14">
        <f>C23/C11</f>
        <v>3</v>
      </c>
      <c r="D35" s="81">
        <f t="shared" si="2"/>
        <v>3</v>
      </c>
      <c r="E35" s="81">
        <f>D23/C11</f>
        <v>1.8271305285868393</v>
      </c>
      <c r="F35" s="71">
        <f>E23/C11</f>
        <v>0.23408845738942827</v>
      </c>
      <c r="G35" s="71">
        <f>F23/C11</f>
        <v>0.9387810140237325</v>
      </c>
      <c r="H35" s="71"/>
      <c r="I35" s="14"/>
      <c r="J35" s="14"/>
      <c r="M35" s="89"/>
      <c r="N35" s="35"/>
      <c r="O35" s="35"/>
      <c r="P35" s="35"/>
      <c r="Q35" s="35"/>
      <c r="R35" s="35"/>
      <c r="S35" s="35"/>
      <c r="T35" s="35"/>
    </row>
    <row r="36" spans="1:13" ht="12" customHeight="1">
      <c r="A36" s="30" t="s">
        <v>65</v>
      </c>
      <c r="B36" s="31" t="s">
        <v>11</v>
      </c>
      <c r="C36" s="32">
        <v>3.56</v>
      </c>
      <c r="D36" s="81">
        <f t="shared" si="2"/>
        <v>3.5600938049638455</v>
      </c>
      <c r="E36" s="81">
        <f>D24/C12</f>
        <v>2.3832323627125267</v>
      </c>
      <c r="F36" s="81">
        <f>E24/C12</f>
        <v>0.23548954465507133</v>
      </c>
      <c r="G36" s="81">
        <f>F24/C12</f>
        <v>0.9413718975962478</v>
      </c>
      <c r="H36" s="72"/>
      <c r="I36" s="32"/>
      <c r="J36" s="32"/>
      <c r="M36" s="89"/>
    </row>
    <row r="37" spans="1:13" ht="12" customHeight="1" thickBot="1">
      <c r="A37" s="127" t="s">
        <v>6</v>
      </c>
      <c r="B37" s="10" t="s">
        <v>11</v>
      </c>
      <c r="C37" s="34">
        <v>2.57</v>
      </c>
      <c r="D37" s="82">
        <f t="shared" si="2"/>
        <v>2.5703363914373085</v>
      </c>
      <c r="E37" s="82">
        <f>D25/C13</f>
        <v>1.392966360856269</v>
      </c>
      <c r="F37" s="82">
        <f>E25/C13</f>
        <v>0.23547400611620795</v>
      </c>
      <c r="G37" s="82">
        <f>F25/C13</f>
        <v>0.9418960244648318</v>
      </c>
      <c r="H37" s="73"/>
      <c r="I37" s="34"/>
      <c r="J37" s="34"/>
      <c r="M37" s="89"/>
    </row>
    <row r="38" spans="1:3" ht="14.25" customHeight="1" thickBot="1">
      <c r="A38" s="15"/>
      <c r="B38" s="16"/>
      <c r="C38" s="2"/>
    </row>
    <row r="39" spans="1:6" ht="19.5" customHeight="1">
      <c r="A39" s="17" t="s">
        <v>12</v>
      </c>
      <c r="B39" s="18" t="s">
        <v>9</v>
      </c>
      <c r="C39" s="1">
        <f>C40+C42+C45+C47</f>
        <v>214800.6666666667</v>
      </c>
      <c r="D39" s="78"/>
      <c r="E39" t="s">
        <v>17</v>
      </c>
      <c r="F39" s="36"/>
    </row>
    <row r="40" spans="1:9" ht="16.5" customHeight="1">
      <c r="A40" s="58" t="s">
        <v>18</v>
      </c>
      <c r="B40" s="59" t="s">
        <v>9</v>
      </c>
      <c r="C40" s="60">
        <f>C41</f>
        <v>73705</v>
      </c>
      <c r="D40" s="79"/>
      <c r="I40" s="57"/>
    </row>
    <row r="41" spans="1:9" ht="12.75" customHeight="1">
      <c r="A41" s="8" t="s">
        <v>19</v>
      </c>
      <c r="B41" s="4" t="s">
        <v>9</v>
      </c>
      <c r="C41" s="12">
        <v>73705</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c r="A52" s="22"/>
      <c r="B52" s="23"/>
      <c r="C52" s="24"/>
      <c r="D52" s="24"/>
    </row>
    <row r="53" spans="1:11" ht="21.75" customHeight="1" hidden="1">
      <c r="A53" s="128" t="s">
        <v>43</v>
      </c>
      <c r="B53" s="129"/>
      <c r="C53" s="130"/>
      <c r="K53" s="28">
        <f>C18-C39-26500</f>
        <v>-26499.666666666686</v>
      </c>
    </row>
    <row r="54" spans="1:20" s="84" customFormat="1" ht="24.75" customHeight="1" hidden="1">
      <c r="A54" s="131" t="s">
        <v>55</v>
      </c>
      <c r="B54" s="132" t="s">
        <v>9</v>
      </c>
      <c r="C54" s="133">
        <f>(35330862.47-3888970.86-120491.03+14515878.86*0.0054)/1000</f>
        <v>31399.786325843997</v>
      </c>
      <c r="M54" s="53"/>
      <c r="N54" s="53"/>
      <c r="O54" s="53"/>
      <c r="P54" s="53"/>
      <c r="Q54" s="53"/>
      <c r="R54" s="53"/>
      <c r="S54" s="53"/>
      <c r="T54" s="53"/>
    </row>
    <row r="55" spans="1:3" ht="24.75" customHeight="1" hidden="1">
      <c r="A55" s="147" t="s">
        <v>56</v>
      </c>
      <c r="B55" s="148" t="s">
        <v>9</v>
      </c>
      <c r="C55" s="116">
        <f>(2250000*4+956250+928125+900000+871875)/1000</f>
        <v>12656.25</v>
      </c>
    </row>
    <row r="56" spans="1:3" ht="24.75" customHeight="1" hidden="1">
      <c r="A56" s="131" t="s">
        <v>57</v>
      </c>
      <c r="B56" s="134" t="s">
        <v>9</v>
      </c>
      <c r="C56" s="135"/>
    </row>
    <row r="57" spans="1:3" ht="27" customHeight="1" hidden="1">
      <c r="A57" s="136" t="s">
        <v>52</v>
      </c>
      <c r="B57" s="134" t="s">
        <v>9</v>
      </c>
      <c r="C57" s="137">
        <v>19246</v>
      </c>
    </row>
    <row r="58" spans="1:7" ht="27" customHeight="1" hidden="1">
      <c r="A58" s="136" t="s">
        <v>44</v>
      </c>
      <c r="B58" s="134" t="s">
        <v>9</v>
      </c>
      <c r="C58" s="137">
        <v>2615</v>
      </c>
      <c r="G58" s="91"/>
    </row>
    <row r="59" spans="1:5" ht="30.75" customHeight="1" hidden="1">
      <c r="A59" s="138" t="s">
        <v>53</v>
      </c>
      <c r="B59" s="139"/>
      <c r="C59" s="140">
        <v>28000</v>
      </c>
      <c r="E59" s="28"/>
    </row>
    <row r="60" spans="1:4" s="26" customFormat="1" ht="11.25" customHeight="1" hidden="1">
      <c r="A60" s="22"/>
      <c r="B60" s="23"/>
      <c r="C60" s="24"/>
      <c r="D60" s="24"/>
    </row>
    <row r="61" spans="1:4" s="26" customFormat="1" ht="11.25" customHeight="1" hidden="1">
      <c r="A61" s="22"/>
      <c r="B61" s="23"/>
      <c r="C61" s="24"/>
      <c r="D61" s="24"/>
    </row>
    <row r="62" spans="1:208" s="26" customFormat="1" ht="15" customHeight="1" hidden="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8" ht="38.25" customHeight="1" hidden="1">
      <c r="A63" s="41" t="s">
        <v>54</v>
      </c>
      <c r="B63" s="42" t="s">
        <v>9</v>
      </c>
      <c r="C63" s="62">
        <f>C64+C65</f>
        <v>26500</v>
      </c>
      <c r="E63" s="37" t="s">
        <v>50</v>
      </c>
      <c r="G63" s="38"/>
      <c r="H63" s="38"/>
    </row>
    <row r="64" spans="1:208" s="26" customFormat="1" ht="14.25" customHeight="1" hidden="1">
      <c r="A64" s="141" t="s">
        <v>68</v>
      </c>
      <c r="B64" s="142" t="s">
        <v>9</v>
      </c>
      <c r="C64" s="143">
        <v>8500</v>
      </c>
      <c r="D64" s="44"/>
      <c r="E64" s="44"/>
      <c r="F64" s="44" t="s">
        <v>51</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26" customFormat="1" ht="14.25" customHeight="1" hidden="1">
      <c r="A65" s="144" t="s">
        <v>30</v>
      </c>
      <c r="B65" s="145" t="s">
        <v>9</v>
      </c>
      <c r="C65" s="146">
        <v>18000</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4.25" customHeight="1" hidden="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16.5" customHeight="1" hidden="1">
      <c r="A67" s="43"/>
      <c r="B67" s="43"/>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47.25" customHeight="1" hidden="1">
      <c r="A68" s="571" t="s">
        <v>49</v>
      </c>
      <c r="B68" s="571"/>
      <c r="C68" s="571"/>
      <c r="D68" s="571"/>
      <c r="E68" s="571"/>
      <c r="F68" s="571"/>
      <c r="G68" s="571"/>
      <c r="H68" s="571"/>
      <c r="I68" s="57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208" s="26" customFormat="1" ht="18" customHeight="1" hidden="1">
      <c r="A69" s="572"/>
      <c r="B69" s="57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row>
    <row r="70" spans="1:3" s="26" customFormat="1" ht="12.75" hidden="1">
      <c r="A70" s="46"/>
      <c r="B70" s="45"/>
      <c r="C70" s="50"/>
    </row>
    <row r="71" spans="1:3" s="26" customFormat="1" ht="15" hidden="1">
      <c r="A71" s="43"/>
      <c r="B71" s="43"/>
      <c r="C71" s="50"/>
    </row>
    <row r="72" spans="1:4" s="26" customFormat="1" ht="14.25" hidden="1">
      <c r="A72" s="573" t="s">
        <v>58</v>
      </c>
      <c r="B72" s="573"/>
      <c r="C72" s="50"/>
      <c r="D72" s="87">
        <f>214007*1.2+26500</f>
        <v>283308.4</v>
      </c>
    </row>
    <row r="73" spans="1:4" s="26" customFormat="1" ht="12.75" customHeight="1" hidden="1">
      <c r="A73" s="46" t="s">
        <v>60</v>
      </c>
      <c r="B73" s="45"/>
      <c r="C73" s="50"/>
      <c r="D73" s="87">
        <f>D74+D75+D76</f>
        <v>55123.200000000004</v>
      </c>
    </row>
    <row r="74" spans="1:4" s="26" customFormat="1" ht="12.75" hidden="1">
      <c r="A74" s="46" t="s">
        <v>59</v>
      </c>
      <c r="B74" s="45"/>
      <c r="C74" s="50"/>
      <c r="D74" s="87">
        <f>32600*1.2</f>
        <v>39120</v>
      </c>
    </row>
    <row r="75" spans="1:4" s="26" customFormat="1" ht="15" hidden="1">
      <c r="A75" s="43" t="s">
        <v>61</v>
      </c>
      <c r="B75" s="43"/>
      <c r="C75" s="50"/>
      <c r="D75" s="87">
        <f>8547*1.2</f>
        <v>10256.4</v>
      </c>
    </row>
    <row r="76" spans="1:4" s="26" customFormat="1" ht="14.25" hidden="1">
      <c r="A76" s="573" t="s">
        <v>62</v>
      </c>
      <c r="B76" s="573"/>
      <c r="C76" s="50"/>
      <c r="D76" s="87">
        <f>4789*1.2</f>
        <v>5746.8</v>
      </c>
    </row>
    <row r="77" spans="1:4" s="52" customFormat="1" ht="15" hidden="1">
      <c r="A77" s="94" t="s">
        <v>63</v>
      </c>
      <c r="B77" s="45"/>
      <c r="C77" s="51"/>
      <c r="D77" s="93">
        <f>D72+D73</f>
        <v>338431.60000000003</v>
      </c>
    </row>
    <row r="78" spans="1:6" s="26" customFormat="1" ht="15">
      <c r="A78" s="47"/>
      <c r="B78" s="45"/>
      <c r="F78" s="92"/>
    </row>
    <row r="79" spans="1:3" s="26" customFormat="1" ht="15">
      <c r="A79" s="43"/>
      <c r="B79" s="43"/>
      <c r="C79" s="87"/>
    </row>
    <row r="80" spans="1:3" s="26" customFormat="1" ht="15">
      <c r="A80" s="43"/>
      <c r="B80" s="44"/>
      <c r="C80" s="87"/>
    </row>
    <row r="81" spans="1:3" s="26" customFormat="1" ht="15">
      <c r="A81" s="48"/>
      <c r="B81" s="49"/>
      <c r="C81" s="149"/>
    </row>
    <row r="82" spans="1:3" s="26" customFormat="1" ht="15">
      <c r="A82" s="48"/>
      <c r="B82" s="49"/>
      <c r="C82" s="150"/>
    </row>
    <row r="83" spans="1:2" s="26" customFormat="1" ht="15">
      <c r="A83" s="43"/>
      <c r="B83" s="43"/>
    </row>
    <row r="84" spans="1:3" s="26" customFormat="1" ht="14.25">
      <c r="A84" s="573"/>
      <c r="B84" s="573"/>
      <c r="C84" s="87"/>
    </row>
    <row r="85" spans="1:3" s="26" customFormat="1" ht="12.75">
      <c r="A85" s="151"/>
      <c r="C85" s="152"/>
    </row>
    <row r="86" s="26" customFormat="1" ht="12.75"/>
    <row r="87" s="26" customFormat="1" ht="12.75"/>
  </sheetData>
  <sheetProtection/>
  <mergeCells count="19">
    <mergeCell ref="J27:J28"/>
    <mergeCell ref="A1:D1"/>
    <mergeCell ref="A2:D2"/>
    <mergeCell ref="A3:D3"/>
    <mergeCell ref="C5:D5"/>
    <mergeCell ref="A27:A28"/>
    <mergeCell ref="B27:B28"/>
    <mergeCell ref="C27:C28"/>
    <mergeCell ref="D27:D28"/>
    <mergeCell ref="A68:I68"/>
    <mergeCell ref="A69:B69"/>
    <mergeCell ref="A72:B72"/>
    <mergeCell ref="A76:B76"/>
    <mergeCell ref="A84:B84"/>
    <mergeCell ref="E27:E28"/>
    <mergeCell ref="F27:F28"/>
    <mergeCell ref="G27:G28"/>
    <mergeCell ref="H27:H28"/>
    <mergeCell ref="I27:I28"/>
  </mergeCells>
  <printOptions/>
  <pageMargins left="0" right="0" top="0.7480314960629921" bottom="0.7480314960629921" header="0.31496062992125984" footer="0.31496062992125984"/>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GZ85"/>
  <sheetViews>
    <sheetView zoomScalePageLayoutView="0" workbookViewId="0" topLeftCell="A13">
      <selection activeCell="A16" sqref="A1:IV16384"/>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t="s">
        <v>77</v>
      </c>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59173</v>
      </c>
      <c r="D6" s="155">
        <f>D7+D8+D9+D12+D13</f>
        <v>0.9999999999999999</v>
      </c>
    </row>
    <row r="7" spans="1:20" s="6" customFormat="1" ht="21" customHeight="1">
      <c r="A7" s="58" t="s">
        <v>4</v>
      </c>
      <c r="B7" s="59" t="s">
        <v>3</v>
      </c>
      <c r="C7" s="60">
        <v>14224</v>
      </c>
      <c r="D7" s="157">
        <f>14224/59173</f>
        <v>0.240379902996299</v>
      </c>
      <c r="F7" s="55"/>
      <c r="J7" s="55"/>
      <c r="K7" s="55"/>
      <c r="L7" s="55"/>
      <c r="M7" s="35"/>
      <c r="N7" s="35"/>
      <c r="O7" s="35"/>
      <c r="P7" s="35"/>
      <c r="Q7" s="35"/>
      <c r="R7" s="35"/>
      <c r="S7" s="35"/>
      <c r="T7" s="35"/>
    </row>
    <row r="8" spans="1:20" s="6" customFormat="1" ht="21" customHeight="1">
      <c r="A8" s="58" t="s">
        <v>8</v>
      </c>
      <c r="B8" s="59" t="s">
        <v>3</v>
      </c>
      <c r="C8" s="60">
        <v>4517</v>
      </c>
      <c r="D8" s="157">
        <f>4517/59173</f>
        <v>0.07633549084886689</v>
      </c>
      <c r="E8" s="35"/>
      <c r="M8" s="35"/>
      <c r="N8" s="35"/>
      <c r="O8" s="35"/>
      <c r="P8" s="35"/>
      <c r="Q8" s="35"/>
      <c r="R8" s="35"/>
      <c r="S8" s="35"/>
      <c r="T8" s="35"/>
    </row>
    <row r="9" spans="1:20" s="6" customFormat="1" ht="21" customHeight="1">
      <c r="A9" s="58" t="s">
        <v>21</v>
      </c>
      <c r="B9" s="59" t="s">
        <v>3</v>
      </c>
      <c r="C9" s="60">
        <f>C10+C11</f>
        <v>34661</v>
      </c>
      <c r="D9" s="157">
        <f>D10+D11</f>
        <v>0.5857570175586838</v>
      </c>
      <c r="M9" s="35"/>
      <c r="N9" s="35"/>
      <c r="O9" s="35"/>
      <c r="P9" s="35"/>
      <c r="Q9" s="35"/>
      <c r="R9" s="35"/>
      <c r="S9" s="35"/>
      <c r="T9" s="35"/>
    </row>
    <row r="10" spans="1:20" s="6" customFormat="1" ht="21" customHeight="1">
      <c r="A10" s="97" t="s">
        <v>48</v>
      </c>
      <c r="B10" s="59" t="s">
        <v>3</v>
      </c>
      <c r="C10" s="85">
        <f>29082+1415+456</f>
        <v>30953</v>
      </c>
      <c r="D10" s="156">
        <f>29082/59173</f>
        <v>0.4914741520625961</v>
      </c>
      <c r="E10" s="27"/>
      <c r="M10" s="35"/>
      <c r="N10" s="35"/>
      <c r="O10" s="35"/>
      <c r="P10" s="35"/>
      <c r="Q10" s="35"/>
      <c r="R10" s="35"/>
      <c r="S10" s="35"/>
      <c r="T10" s="35"/>
    </row>
    <row r="11" spans="1:20" s="6" customFormat="1" ht="21" customHeight="1">
      <c r="A11" s="97" t="s">
        <v>64</v>
      </c>
      <c r="B11" s="59" t="s">
        <v>3</v>
      </c>
      <c r="C11" s="98">
        <f>5579-1415-456</f>
        <v>3708</v>
      </c>
      <c r="D11" s="156">
        <f>5579/59173</f>
        <v>0.09428286549608775</v>
      </c>
      <c r="M11" s="35"/>
      <c r="N11" s="35"/>
      <c r="O11" s="35"/>
      <c r="P11" s="35"/>
      <c r="Q11" s="35"/>
      <c r="R11" s="35"/>
      <c r="S11" s="35"/>
      <c r="T11" s="35"/>
    </row>
    <row r="12" spans="1:4" ht="21" customHeight="1">
      <c r="A12" s="99" t="s">
        <v>65</v>
      </c>
      <c r="B12" s="100" t="s">
        <v>3</v>
      </c>
      <c r="C12" s="101">
        <v>5117</v>
      </c>
      <c r="D12" s="157">
        <f>5117/59173</f>
        <v>0.08647525053656228</v>
      </c>
    </row>
    <row r="13" spans="1:9" ht="21" customHeight="1" thickBot="1">
      <c r="A13" s="58" t="s">
        <v>66</v>
      </c>
      <c r="B13" s="59" t="s">
        <v>3</v>
      </c>
      <c r="C13" s="102">
        <v>654</v>
      </c>
      <c r="D13" s="158">
        <f>654/59173</f>
        <v>0.011052338059587987</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219116</v>
      </c>
      <c r="D18" s="106">
        <f t="shared" si="0"/>
        <v>78020</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v>55446</v>
      </c>
      <c r="D19" s="112">
        <f>ROUND(C19-E19-F19-G19-H19,0)</f>
        <v>24112</v>
      </c>
      <c r="E19" s="112">
        <v>3347</v>
      </c>
      <c r="F19" s="112">
        <v>13375</v>
      </c>
      <c r="G19" s="112">
        <f>5842+1286</f>
        <v>7128</v>
      </c>
      <c r="H19" s="112">
        <v>7484</v>
      </c>
      <c r="I19" s="112">
        <f>26500*(58575/171094)+1350+1500-300</f>
        <v>11622.425099652823</v>
      </c>
      <c r="J19" s="107"/>
      <c r="K19" s="107">
        <v>53706</v>
      </c>
      <c r="L19" s="107"/>
      <c r="M19" s="109"/>
      <c r="N19" s="79"/>
      <c r="O19" s="79"/>
      <c r="P19" s="113"/>
      <c r="Q19" s="113"/>
      <c r="R19" s="113"/>
      <c r="S19" s="113"/>
      <c r="T19" s="113"/>
    </row>
    <row r="20" spans="1:20" s="114" customFormat="1" ht="21" customHeight="1">
      <c r="A20" s="58" t="s">
        <v>10</v>
      </c>
      <c r="B20" s="59" t="s">
        <v>9</v>
      </c>
      <c r="C20" s="112">
        <f>49350+1857-142-142-315</f>
        <v>50608</v>
      </c>
      <c r="D20" s="112">
        <f>ROUND(C20-E20-F20-G20-H20,0)</f>
        <v>6136</v>
      </c>
      <c r="E20" s="112">
        <v>1063</v>
      </c>
      <c r="F20" s="112">
        <v>4253</v>
      </c>
      <c r="G20" s="112">
        <f>30123+5154</f>
        <v>35277</v>
      </c>
      <c r="H20" s="112">
        <v>3879</v>
      </c>
      <c r="I20" s="112">
        <f>26500*(47355/171094)-3281-1000+300</f>
        <v>3353.608460846085</v>
      </c>
      <c r="J20" s="107"/>
      <c r="K20" s="107">
        <v>50608</v>
      </c>
      <c r="L20" s="107"/>
      <c r="M20" s="109"/>
      <c r="N20" s="79"/>
      <c r="O20" s="79"/>
      <c r="P20" s="113"/>
      <c r="Q20" s="113"/>
      <c r="R20" s="113"/>
      <c r="S20" s="113"/>
      <c r="T20" s="113"/>
    </row>
    <row r="21" spans="1:20" s="114" customFormat="1" ht="21" customHeight="1">
      <c r="A21" s="58" t="s">
        <v>5</v>
      </c>
      <c r="B21" s="59" t="s">
        <v>9</v>
      </c>
      <c r="C21" s="112">
        <f aca="true" t="shared" si="1" ref="C21:I21">C22+C23</f>
        <v>93164</v>
      </c>
      <c r="D21" s="112">
        <f t="shared" si="1"/>
        <v>34666</v>
      </c>
      <c r="E21" s="112">
        <f t="shared" si="1"/>
        <v>8155</v>
      </c>
      <c r="F21" s="112">
        <f t="shared" si="1"/>
        <v>32591</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v>82040</v>
      </c>
      <c r="D22" s="153">
        <f>ROUND(C22-E22-F22-G22-H22,0)</f>
        <v>27891</v>
      </c>
      <c r="E22" s="116">
        <v>7287</v>
      </c>
      <c r="F22" s="116">
        <v>29110</v>
      </c>
      <c r="G22" s="116">
        <f>7000+750+1667</f>
        <v>9417</v>
      </c>
      <c r="H22" s="116">
        <v>8335</v>
      </c>
      <c r="I22" s="153">
        <f>ROUND(26500*(65164/171094)+1731-300,0)</f>
        <v>11524</v>
      </c>
      <c r="J22" s="107"/>
      <c r="K22" s="107">
        <v>79465</v>
      </c>
      <c r="L22" s="107"/>
      <c r="M22" s="109"/>
      <c r="N22" s="79"/>
      <c r="O22" s="79"/>
      <c r="P22" s="111"/>
      <c r="Q22" s="111"/>
      <c r="R22" s="111"/>
      <c r="S22" s="111"/>
      <c r="T22" s="111"/>
    </row>
    <row r="23" spans="1:20" s="108" customFormat="1" ht="16.5" customHeight="1">
      <c r="A23" s="97" t="s">
        <v>64</v>
      </c>
      <c r="B23" s="59" t="s">
        <v>9</v>
      </c>
      <c r="C23" s="116">
        <f>3708*3</f>
        <v>11124</v>
      </c>
      <c r="D23" s="116">
        <f>ROUND(C23-E23-F23-G23-H23,0)</f>
        <v>6775</v>
      </c>
      <c r="E23" s="85">
        <v>868</v>
      </c>
      <c r="F23" s="85">
        <v>3481</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12195</v>
      </c>
      <c r="E24" s="60">
        <v>1205</v>
      </c>
      <c r="F24" s="60">
        <v>4817</v>
      </c>
      <c r="G24" s="60"/>
      <c r="H24" s="60"/>
      <c r="I24" s="60"/>
      <c r="J24" s="107"/>
      <c r="K24" s="107"/>
      <c r="L24" s="163">
        <v>0.0324</v>
      </c>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911</v>
      </c>
      <c r="E25" s="125">
        <v>154</v>
      </c>
      <c r="F25" s="125">
        <v>616</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0" ht="16.5" customHeight="1">
      <c r="A30" s="11" t="s">
        <v>34</v>
      </c>
      <c r="B30" s="76"/>
      <c r="C30" s="77"/>
      <c r="D30" s="77"/>
      <c r="E30" s="77"/>
      <c r="F30" s="77"/>
      <c r="G30" s="77"/>
      <c r="H30" s="77"/>
      <c r="I30" s="77"/>
      <c r="J30" s="77"/>
    </row>
    <row r="31" spans="1:20" s="6" customFormat="1" ht="12" customHeight="1">
      <c r="A31" s="30" t="s">
        <v>35</v>
      </c>
      <c r="B31" s="31" t="s">
        <v>11</v>
      </c>
      <c r="C31" s="33">
        <f>D31+J31</f>
        <v>4.73</v>
      </c>
      <c r="D31" s="81">
        <f>E31+F31+G31+H31+I31</f>
        <v>3.91</v>
      </c>
      <c r="E31" s="81">
        <f>ROUND(D19/C7,2)</f>
        <v>1.7</v>
      </c>
      <c r="F31" s="81">
        <f>ROUND(E19/C7,2)</f>
        <v>0.24</v>
      </c>
      <c r="G31" s="81">
        <f>ROUND(F19/C7,2)</f>
        <v>0.94</v>
      </c>
      <c r="H31" s="81">
        <f>ROUND(G19/C7,2)</f>
        <v>0.5</v>
      </c>
      <c r="I31" s="81">
        <f>ROUND(H19/C7,2)</f>
        <v>0.53</v>
      </c>
      <c r="J31" s="81">
        <f>ROUND(I19/C7,2)</f>
        <v>0.82</v>
      </c>
      <c r="K31" s="86">
        <f>E31-1.57</f>
        <v>0.1299999999999999</v>
      </c>
      <c r="L31" s="86"/>
      <c r="M31" s="89"/>
      <c r="N31" s="90"/>
      <c r="O31" s="35"/>
      <c r="P31" s="35"/>
      <c r="Q31" s="88"/>
      <c r="R31" s="35"/>
      <c r="S31" s="35"/>
      <c r="T31" s="35"/>
    </row>
    <row r="32" spans="1:20" s="6" customFormat="1" ht="12" customHeight="1">
      <c r="A32" s="13" t="s">
        <v>36</v>
      </c>
      <c r="B32" s="4" t="s">
        <v>11</v>
      </c>
      <c r="C32" s="33">
        <f>D32+J32</f>
        <v>11.95</v>
      </c>
      <c r="D32" s="81">
        <f aca="true" t="shared" si="2" ref="D32:D37">E32+F32+G32+H32+I32</f>
        <v>11.209999999999999</v>
      </c>
      <c r="E32" s="81">
        <f>ROUND(D20/C8,2)</f>
        <v>1.36</v>
      </c>
      <c r="F32" s="81">
        <f>ROUND(E20/C8,2)</f>
        <v>0.24</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3.0199999999999996</v>
      </c>
      <c r="D33" s="81">
        <f t="shared" si="2"/>
        <v>2.6899999999999995</v>
      </c>
      <c r="E33" s="81">
        <f>ROUND(D21/C9,2)</f>
        <v>1</v>
      </c>
      <c r="F33" s="81">
        <f>ROUND(E21/C9,2)</f>
        <v>0.24</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3.022776467547572</v>
      </c>
      <c r="D34" s="81">
        <f t="shared" si="2"/>
        <v>2.6504700675217263</v>
      </c>
      <c r="E34" s="81">
        <f>D22/C10</f>
        <v>0.9010758246373534</v>
      </c>
      <c r="F34" s="81">
        <f>E22/C10</f>
        <v>0.2354214454172455</v>
      </c>
      <c r="G34" s="81">
        <f>F22/C10</f>
        <v>0.9404581139146447</v>
      </c>
      <c r="H34" s="81">
        <f>G22/C10</f>
        <v>0.3042354537524634</v>
      </c>
      <c r="I34" s="81">
        <f>H22/C10</f>
        <v>0.2692792298000194</v>
      </c>
      <c r="J34" s="81">
        <f>I22/C10</f>
        <v>0.37230640002584564</v>
      </c>
      <c r="K34" s="86">
        <f>+E34-0.82</f>
        <v>0.08107582463735341</v>
      </c>
      <c r="L34" s="86"/>
      <c r="M34" s="89"/>
      <c r="N34" s="90"/>
      <c r="O34" s="35"/>
      <c r="P34" s="35"/>
      <c r="Q34" s="88"/>
      <c r="R34" s="35"/>
      <c r="S34" s="35"/>
      <c r="T34" s="35"/>
    </row>
    <row r="35" spans="1:20" s="6" customFormat="1" ht="12" customHeight="1">
      <c r="A35" s="13" t="s">
        <v>64</v>
      </c>
      <c r="B35" s="4" t="s">
        <v>11</v>
      </c>
      <c r="C35" s="14">
        <f>C23/C11</f>
        <v>3</v>
      </c>
      <c r="D35" s="81">
        <f t="shared" si="2"/>
        <v>3</v>
      </c>
      <c r="E35" s="81">
        <f>D23/C11</f>
        <v>1.8271305285868393</v>
      </c>
      <c r="F35" s="71">
        <f>E23/C11</f>
        <v>0.23408845738942827</v>
      </c>
      <c r="G35" s="71">
        <f>F23/C11</f>
        <v>0.9387810140237325</v>
      </c>
      <c r="H35" s="71"/>
      <c r="I35" s="14"/>
      <c r="J35" s="14"/>
      <c r="M35" s="89"/>
      <c r="N35" s="35"/>
      <c r="O35" s="35"/>
      <c r="P35" s="35"/>
      <c r="Q35" s="35"/>
      <c r="R35" s="35"/>
      <c r="S35" s="35"/>
      <c r="T35" s="35"/>
    </row>
    <row r="36" spans="1:13" ht="12" customHeight="1">
      <c r="A36" s="30" t="s">
        <v>65</v>
      </c>
      <c r="B36" s="31" t="s">
        <v>11</v>
      </c>
      <c r="C36" s="32">
        <v>3.56</v>
      </c>
      <c r="D36" s="81">
        <f t="shared" si="2"/>
        <v>3.5600938049638455</v>
      </c>
      <c r="E36" s="81">
        <f>D24/C12</f>
        <v>2.3832323627125267</v>
      </c>
      <c r="F36" s="81">
        <f>E24/C12</f>
        <v>0.23548954465507133</v>
      </c>
      <c r="G36" s="81">
        <f>F24/C12</f>
        <v>0.9413718975962478</v>
      </c>
      <c r="H36" s="72"/>
      <c r="I36" s="32"/>
      <c r="J36" s="32"/>
      <c r="M36" s="89"/>
    </row>
    <row r="37" spans="1:13" ht="12" customHeight="1" thickBot="1">
      <c r="A37" s="127" t="s">
        <v>6</v>
      </c>
      <c r="B37" s="10" t="s">
        <v>11</v>
      </c>
      <c r="C37" s="34">
        <v>2.57</v>
      </c>
      <c r="D37" s="82">
        <f t="shared" si="2"/>
        <v>2.5703363914373085</v>
      </c>
      <c r="E37" s="82">
        <f>D25/C13</f>
        <v>1.392966360856269</v>
      </c>
      <c r="F37" s="82">
        <f>E25/C13</f>
        <v>0.23547400611620795</v>
      </c>
      <c r="G37" s="82">
        <f>F25/C13</f>
        <v>0.9418960244648318</v>
      </c>
      <c r="H37" s="73"/>
      <c r="I37" s="34"/>
      <c r="J37" s="34"/>
      <c r="M37" s="89"/>
    </row>
    <row r="38" spans="1:3" ht="14.25" customHeight="1" thickBot="1">
      <c r="A38" s="15"/>
      <c r="B38" s="16"/>
      <c r="C38" s="2"/>
    </row>
    <row r="39" spans="1:6" ht="19.5" customHeight="1">
      <c r="A39" s="17" t="s">
        <v>12</v>
      </c>
      <c r="B39" s="18" t="s">
        <v>9</v>
      </c>
      <c r="C39" s="1">
        <f>C40+C42+C45+C47</f>
        <v>219121.6666666667</v>
      </c>
      <c r="D39" s="78"/>
      <c r="E39" t="s">
        <v>17</v>
      </c>
      <c r="F39" s="36"/>
    </row>
    <row r="40" spans="1:9" ht="16.5" customHeight="1">
      <c r="A40" s="58" t="s">
        <v>18</v>
      </c>
      <c r="B40" s="59" t="s">
        <v>9</v>
      </c>
      <c r="C40" s="60">
        <f>C41</f>
        <v>78026</v>
      </c>
      <c r="D40" s="79"/>
      <c r="I40" s="57"/>
    </row>
    <row r="41" spans="1:9" ht="12.75" customHeight="1">
      <c r="A41" s="8" t="s">
        <v>19</v>
      </c>
      <c r="B41" s="4" t="s">
        <v>9</v>
      </c>
      <c r="C41" s="12">
        <v>78026</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c r="A52" s="22"/>
      <c r="B52" s="23"/>
      <c r="C52" s="24"/>
      <c r="D52" s="24"/>
    </row>
    <row r="53" spans="1:11" ht="21.75" customHeight="1" hidden="1">
      <c r="A53" s="128" t="s">
        <v>43</v>
      </c>
      <c r="B53" s="129"/>
      <c r="C53" s="130"/>
      <c r="K53" s="28">
        <f>C18-C39-26500</f>
        <v>-26505.666666666686</v>
      </c>
    </row>
    <row r="54" spans="1:20" s="84" customFormat="1" ht="24.75" customHeight="1" hidden="1">
      <c r="A54" s="131" t="s">
        <v>55</v>
      </c>
      <c r="B54" s="132" t="s">
        <v>9</v>
      </c>
      <c r="C54" s="133">
        <f>(35330862.47-3888970.86-120491.03+14515878.86*0.0054)/1000</f>
        <v>31399.786325843997</v>
      </c>
      <c r="M54" s="53"/>
      <c r="N54" s="53"/>
      <c r="O54" s="53"/>
      <c r="P54" s="53"/>
      <c r="Q54" s="53"/>
      <c r="R54" s="53"/>
      <c r="S54" s="53"/>
      <c r="T54" s="53"/>
    </row>
    <row r="55" spans="1:3" ht="24.75" customHeight="1" hidden="1">
      <c r="A55" s="147" t="s">
        <v>56</v>
      </c>
      <c r="B55" s="148" t="s">
        <v>9</v>
      </c>
      <c r="C55" s="116">
        <f>(2250000*4+956250+928125+900000+871875)/1000</f>
        <v>12656.25</v>
      </c>
    </row>
    <row r="56" spans="1:3" ht="24.75" customHeight="1" hidden="1">
      <c r="A56" s="131" t="s">
        <v>57</v>
      </c>
      <c r="B56" s="134" t="s">
        <v>9</v>
      </c>
      <c r="C56" s="135"/>
    </row>
    <row r="57" spans="1:3" ht="27" customHeight="1" hidden="1">
      <c r="A57" s="136" t="s">
        <v>52</v>
      </c>
      <c r="B57" s="134" t="s">
        <v>9</v>
      </c>
      <c r="C57" s="137">
        <v>19246</v>
      </c>
    </row>
    <row r="58" spans="1:7" ht="27" customHeight="1" hidden="1">
      <c r="A58" s="136" t="s">
        <v>44</v>
      </c>
      <c r="B58" s="134" t="s">
        <v>9</v>
      </c>
      <c r="C58" s="137">
        <v>2615</v>
      </c>
      <c r="G58" s="91"/>
    </row>
    <row r="59" spans="1:5" ht="30.75" customHeight="1" hidden="1">
      <c r="A59" s="138" t="s">
        <v>53</v>
      </c>
      <c r="B59" s="139"/>
      <c r="C59" s="140">
        <v>28000</v>
      </c>
      <c r="E59" s="28"/>
    </row>
    <row r="60" spans="1:4" s="26" customFormat="1" ht="11.25" customHeight="1" hidden="1">
      <c r="A60" s="22"/>
      <c r="B60" s="23"/>
      <c r="C60" s="24"/>
      <c r="D60" s="24"/>
    </row>
    <row r="61" spans="1:4" s="26" customFormat="1" ht="11.25" customHeight="1" hidden="1">
      <c r="A61" s="22"/>
      <c r="B61" s="23"/>
      <c r="C61" s="24"/>
      <c r="D61" s="24"/>
    </row>
    <row r="62" spans="1:208" s="26" customFormat="1" ht="15" customHeight="1" hidden="1">
      <c r="A62" s="43"/>
      <c r="B62" s="43"/>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8" ht="38.25" customHeight="1" hidden="1">
      <c r="A63" s="41" t="s">
        <v>54</v>
      </c>
      <c r="B63" s="42" t="s">
        <v>9</v>
      </c>
      <c r="C63" s="62">
        <f>C64+C65</f>
        <v>26500</v>
      </c>
      <c r="E63" s="37" t="s">
        <v>50</v>
      </c>
      <c r="G63" s="38"/>
      <c r="H63" s="38"/>
    </row>
    <row r="64" spans="1:208" s="26" customFormat="1" ht="14.25" customHeight="1" hidden="1">
      <c r="A64" s="141" t="s">
        <v>68</v>
      </c>
      <c r="B64" s="142" t="s">
        <v>9</v>
      </c>
      <c r="C64" s="143">
        <v>8500</v>
      </c>
      <c r="D64" s="44"/>
      <c r="E64" s="44"/>
      <c r="F64" s="44" t="s">
        <v>51</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26" customFormat="1" ht="14.25" customHeight="1" hidden="1">
      <c r="A65" s="144" t="s">
        <v>30</v>
      </c>
      <c r="B65" s="145" t="s">
        <v>9</v>
      </c>
      <c r="C65" s="146">
        <v>18000</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4.25" customHeight="1" hidden="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16.5" customHeight="1" hidden="1">
      <c r="A67" s="43"/>
      <c r="B67" s="43"/>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47.25" customHeight="1" hidden="1">
      <c r="A68" s="571" t="s">
        <v>49</v>
      </c>
      <c r="B68" s="571"/>
      <c r="C68" s="571"/>
      <c r="D68" s="571"/>
      <c r="E68" s="571"/>
      <c r="F68" s="571"/>
      <c r="G68" s="571"/>
      <c r="H68" s="571"/>
      <c r="I68" s="57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208" s="26" customFormat="1" ht="18" customHeight="1" hidden="1">
      <c r="A69" s="572"/>
      <c r="B69" s="57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row>
    <row r="70" spans="1:3" s="26" customFormat="1" ht="12.75" hidden="1">
      <c r="A70" s="46"/>
      <c r="B70" s="45"/>
      <c r="C70" s="50"/>
    </row>
    <row r="71" spans="1:3" s="26" customFormat="1" ht="15" hidden="1">
      <c r="A71" s="43"/>
      <c r="B71" s="43"/>
      <c r="C71" s="50"/>
    </row>
    <row r="72" spans="1:4" s="26" customFormat="1" ht="14.25" hidden="1">
      <c r="A72" s="573" t="s">
        <v>58</v>
      </c>
      <c r="B72" s="573"/>
      <c r="C72" s="50"/>
      <c r="D72" s="87">
        <f>214007*1.2+26500</f>
        <v>283308.4</v>
      </c>
    </row>
    <row r="73" spans="1:4" s="26" customFormat="1" ht="12.75" customHeight="1" hidden="1">
      <c r="A73" s="46" t="s">
        <v>60</v>
      </c>
      <c r="B73" s="45"/>
      <c r="C73" s="50"/>
      <c r="D73" s="87">
        <f>D74+D75+D76</f>
        <v>55123.200000000004</v>
      </c>
    </row>
    <row r="74" spans="1:4" s="26" customFormat="1" ht="12.75" hidden="1">
      <c r="A74" s="46" t="s">
        <v>59</v>
      </c>
      <c r="B74" s="45"/>
      <c r="C74" s="50"/>
      <c r="D74" s="87">
        <f>32600*1.2</f>
        <v>39120</v>
      </c>
    </row>
    <row r="75" spans="1:4" s="26" customFormat="1" ht="15" hidden="1">
      <c r="A75" s="43" t="s">
        <v>61</v>
      </c>
      <c r="B75" s="43"/>
      <c r="C75" s="50"/>
      <c r="D75" s="87">
        <f>8547*1.2</f>
        <v>10256.4</v>
      </c>
    </row>
    <row r="76" spans="1:4" s="26" customFormat="1" ht="14.25" hidden="1">
      <c r="A76" s="573" t="s">
        <v>62</v>
      </c>
      <c r="B76" s="573"/>
      <c r="C76" s="50"/>
      <c r="D76" s="87">
        <f>4789*1.2</f>
        <v>5746.8</v>
      </c>
    </row>
    <row r="77" spans="1:4" s="52" customFormat="1" ht="15" hidden="1">
      <c r="A77" s="94" t="s">
        <v>63</v>
      </c>
      <c r="B77" s="45"/>
      <c r="C77" s="51"/>
      <c r="D77" s="93">
        <f>D72+D73</f>
        <v>338431.60000000003</v>
      </c>
    </row>
    <row r="78" spans="1:6" s="26" customFormat="1" ht="15">
      <c r="A78" s="47"/>
      <c r="B78" s="45"/>
      <c r="F78" s="92"/>
    </row>
    <row r="79" spans="1:3" s="26" customFormat="1" ht="15">
      <c r="A79" s="43"/>
      <c r="B79" s="43"/>
      <c r="C79" s="87"/>
    </row>
    <row r="80" spans="1:3" s="26" customFormat="1" ht="15">
      <c r="A80" s="43"/>
      <c r="B80" s="44"/>
      <c r="C80" s="87"/>
    </row>
    <row r="81" spans="1:3" s="26" customFormat="1" ht="15">
      <c r="A81" s="48"/>
      <c r="B81" s="49"/>
      <c r="C81" s="149"/>
    </row>
    <row r="82" spans="1:3" s="26" customFormat="1" ht="15">
      <c r="A82" s="48"/>
      <c r="B82" s="49"/>
      <c r="C82" s="150"/>
    </row>
    <row r="83" spans="1:2" s="26" customFormat="1" ht="15">
      <c r="A83" s="43"/>
      <c r="B83" s="43"/>
    </row>
    <row r="84" spans="1:3" s="26" customFormat="1" ht="14.25">
      <c r="A84" s="573"/>
      <c r="B84" s="573"/>
      <c r="C84" s="87"/>
    </row>
    <row r="85" spans="1:3" s="26" customFormat="1" ht="12.75">
      <c r="A85" s="151"/>
      <c r="C85" s="152"/>
    </row>
    <row r="86" s="26" customFormat="1" ht="12.75"/>
    <row r="87" s="26" customFormat="1" ht="12.75"/>
  </sheetData>
  <sheetProtection/>
  <mergeCells count="19">
    <mergeCell ref="A68:I68"/>
    <mergeCell ref="A69:B69"/>
    <mergeCell ref="A72:B72"/>
    <mergeCell ref="A76:B76"/>
    <mergeCell ref="A84:B84"/>
    <mergeCell ref="E27:E28"/>
    <mergeCell ref="F27:F28"/>
    <mergeCell ref="G27:G28"/>
    <mergeCell ref="H27:H28"/>
    <mergeCell ref="I27:I28"/>
    <mergeCell ref="J27:J28"/>
    <mergeCell ref="A1:D1"/>
    <mergeCell ref="A2:D2"/>
    <mergeCell ref="A3:D3"/>
    <mergeCell ref="C5:D5"/>
    <mergeCell ref="A27:A28"/>
    <mergeCell ref="B27:B28"/>
    <mergeCell ref="C27:C28"/>
    <mergeCell ref="D27:D2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Z76"/>
  <sheetViews>
    <sheetView zoomScalePageLayoutView="0" workbookViewId="0" topLeftCell="A34">
      <selection activeCell="H60" sqref="H60"/>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t="s">
        <v>77</v>
      </c>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59173</v>
      </c>
      <c r="D6" s="155">
        <f>D7+D8+D9+D12+D13</f>
        <v>0.9999999999999999</v>
      </c>
    </row>
    <row r="7" spans="1:20" s="6" customFormat="1" ht="21" customHeight="1">
      <c r="A7" s="58" t="s">
        <v>4</v>
      </c>
      <c r="B7" s="59" t="s">
        <v>3</v>
      </c>
      <c r="C7" s="60">
        <v>14224</v>
      </c>
      <c r="D7" s="157">
        <f>14224/59173</f>
        <v>0.240379902996299</v>
      </c>
      <c r="F7" s="55"/>
      <c r="J7" s="55"/>
      <c r="K7" s="55"/>
      <c r="L7" s="55"/>
      <c r="M7" s="35"/>
      <c r="N7" s="35"/>
      <c r="O7" s="35"/>
      <c r="P7" s="35"/>
      <c r="Q7" s="35"/>
      <c r="R7" s="35"/>
      <c r="S7" s="35"/>
      <c r="T7" s="35"/>
    </row>
    <row r="8" spans="1:20" s="6" customFormat="1" ht="21" customHeight="1">
      <c r="A8" s="58" t="s">
        <v>8</v>
      </c>
      <c r="B8" s="59" t="s">
        <v>3</v>
      </c>
      <c r="C8" s="60">
        <v>4517</v>
      </c>
      <c r="D8" s="157">
        <f>4517/59173</f>
        <v>0.07633549084886689</v>
      </c>
      <c r="E8" s="35"/>
      <c r="M8" s="35"/>
      <c r="N8" s="35"/>
      <c r="O8" s="35"/>
      <c r="P8" s="35"/>
      <c r="Q8" s="35"/>
      <c r="R8" s="35"/>
      <c r="S8" s="35"/>
      <c r="T8" s="35"/>
    </row>
    <row r="9" spans="1:20" s="6" customFormat="1" ht="21" customHeight="1">
      <c r="A9" s="58" t="s">
        <v>21</v>
      </c>
      <c r="B9" s="59" t="s">
        <v>3</v>
      </c>
      <c r="C9" s="60">
        <f>C10+C11</f>
        <v>34661</v>
      </c>
      <c r="D9" s="157">
        <f>D10+D11</f>
        <v>0.5857570175586838</v>
      </c>
      <c r="M9" s="35"/>
      <c r="N9" s="35"/>
      <c r="O9" s="35"/>
      <c r="P9" s="35"/>
      <c r="Q9" s="35"/>
      <c r="R9" s="35"/>
      <c r="S9" s="35"/>
      <c r="T9" s="35"/>
    </row>
    <row r="10" spans="1:20" s="6" customFormat="1" ht="21" customHeight="1">
      <c r="A10" s="97" t="s">
        <v>48</v>
      </c>
      <c r="B10" s="59" t="s">
        <v>3</v>
      </c>
      <c r="C10" s="85">
        <f>29082+1415+456</f>
        <v>30953</v>
      </c>
      <c r="D10" s="156">
        <f>29082/59173</f>
        <v>0.4914741520625961</v>
      </c>
      <c r="E10" s="27"/>
      <c r="M10" s="35"/>
      <c r="N10" s="35"/>
      <c r="O10" s="35"/>
      <c r="P10" s="35"/>
      <c r="Q10" s="35"/>
      <c r="R10" s="35"/>
      <c r="S10" s="35"/>
      <c r="T10" s="35"/>
    </row>
    <row r="11" spans="1:20" s="6" customFormat="1" ht="21" customHeight="1">
      <c r="A11" s="97" t="s">
        <v>64</v>
      </c>
      <c r="B11" s="59" t="s">
        <v>3</v>
      </c>
      <c r="C11" s="98">
        <f>5579-1415-456</f>
        <v>3708</v>
      </c>
      <c r="D11" s="156">
        <f>5579/59173</f>
        <v>0.09428286549608775</v>
      </c>
      <c r="M11" s="35"/>
      <c r="N11" s="35"/>
      <c r="O11" s="35"/>
      <c r="P11" s="35"/>
      <c r="Q11" s="35"/>
      <c r="R11" s="35"/>
      <c r="S11" s="35"/>
      <c r="T11" s="35"/>
    </row>
    <row r="12" spans="1:4" ht="21" customHeight="1">
      <c r="A12" s="99" t="s">
        <v>65</v>
      </c>
      <c r="B12" s="100" t="s">
        <v>3</v>
      </c>
      <c r="C12" s="101">
        <v>5117</v>
      </c>
      <c r="D12" s="157">
        <f>5117/59173</f>
        <v>0.08647525053656228</v>
      </c>
    </row>
    <row r="13" spans="1:9" ht="21" customHeight="1" thickBot="1">
      <c r="A13" s="58" t="s">
        <v>66</v>
      </c>
      <c r="B13" s="59" t="s">
        <v>3</v>
      </c>
      <c r="C13" s="102">
        <v>654</v>
      </c>
      <c r="D13" s="158">
        <f>654/59173</f>
        <v>0.011052338059587987</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216962</v>
      </c>
      <c r="D18" s="106">
        <f t="shared" si="0"/>
        <v>75866</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f>54576+2</f>
        <v>54578</v>
      </c>
      <c r="D19" s="112">
        <f>ROUND(C19-E19-F19-G19-H19,0)</f>
        <v>23244</v>
      </c>
      <c r="E19" s="112">
        <v>3347</v>
      </c>
      <c r="F19" s="112">
        <v>13375</v>
      </c>
      <c r="G19" s="112">
        <f>5842+1286</f>
        <v>7128</v>
      </c>
      <c r="H19" s="112">
        <v>7484</v>
      </c>
      <c r="I19" s="112">
        <f>26500*(58575/171094)+1350+1500-300</f>
        <v>11622.425099652823</v>
      </c>
      <c r="J19" s="107"/>
      <c r="K19" s="107"/>
      <c r="L19" s="107"/>
      <c r="M19" s="109"/>
      <c r="N19" s="79"/>
      <c r="O19" s="79"/>
      <c r="P19" s="113"/>
      <c r="Q19" s="113"/>
      <c r="R19" s="113"/>
      <c r="S19" s="113"/>
      <c r="T19" s="113"/>
    </row>
    <row r="20" spans="1:20" s="114" customFormat="1" ht="21" customHeight="1">
      <c r="A20" s="58" t="s">
        <v>10</v>
      </c>
      <c r="B20" s="59" t="s">
        <v>9</v>
      </c>
      <c r="C20" s="112">
        <f>49350+1857-142-142-315</f>
        <v>50608</v>
      </c>
      <c r="D20" s="112">
        <f>ROUND(C20-E20-F20-G20-H20,0)</f>
        <v>6136</v>
      </c>
      <c r="E20" s="112">
        <v>1063</v>
      </c>
      <c r="F20" s="112">
        <v>4253</v>
      </c>
      <c r="G20" s="112">
        <f>30123+5154</f>
        <v>35277</v>
      </c>
      <c r="H20" s="112">
        <v>3879</v>
      </c>
      <c r="I20" s="112">
        <f>26500*(47355/171094)-3281-1000+300</f>
        <v>3353.608460846085</v>
      </c>
      <c r="J20" s="107"/>
      <c r="K20" s="107"/>
      <c r="L20" s="107"/>
      <c r="M20" s="109"/>
      <c r="N20" s="79"/>
      <c r="O20" s="79"/>
      <c r="P20" s="113"/>
      <c r="Q20" s="113"/>
      <c r="R20" s="113"/>
      <c r="S20" s="113"/>
      <c r="T20" s="113"/>
    </row>
    <row r="21" spans="1:20" s="114" customFormat="1" ht="21" customHeight="1">
      <c r="A21" s="58" t="s">
        <v>5</v>
      </c>
      <c r="B21" s="59" t="s">
        <v>9</v>
      </c>
      <c r="C21" s="112">
        <f aca="true" t="shared" si="1" ref="C21:I21">C22+C23</f>
        <v>91878</v>
      </c>
      <c r="D21" s="112">
        <f t="shared" si="1"/>
        <v>33380</v>
      </c>
      <c r="E21" s="112">
        <f t="shared" si="1"/>
        <v>8155</v>
      </c>
      <c r="F21" s="112">
        <f t="shared" si="1"/>
        <v>32591</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f>80752+2</f>
        <v>80754</v>
      </c>
      <c r="D22" s="153">
        <f>ROUND(C22-E22-F22-G22-H22,0)</f>
        <v>26605</v>
      </c>
      <c r="E22" s="116">
        <v>7287</v>
      </c>
      <c r="F22" s="116">
        <v>29110</v>
      </c>
      <c r="G22" s="116">
        <f>7000+750+1667</f>
        <v>9417</v>
      </c>
      <c r="H22" s="116">
        <v>8335</v>
      </c>
      <c r="I22" s="153">
        <f>ROUND(26500*(65164/171094)+1731-300,0)</f>
        <v>11524</v>
      </c>
      <c r="J22" s="107"/>
      <c r="K22" s="107"/>
      <c r="L22" s="107"/>
      <c r="M22" s="109"/>
      <c r="N22" s="79"/>
      <c r="O22" s="79"/>
      <c r="P22" s="111"/>
      <c r="Q22" s="111"/>
      <c r="R22" s="111"/>
      <c r="S22" s="111"/>
      <c r="T22" s="111"/>
    </row>
    <row r="23" spans="1:20" s="108" customFormat="1" ht="16.5" customHeight="1">
      <c r="A23" s="97" t="s">
        <v>64</v>
      </c>
      <c r="B23" s="59" t="s">
        <v>9</v>
      </c>
      <c r="C23" s="116">
        <f>3708*3</f>
        <v>11124</v>
      </c>
      <c r="D23" s="116">
        <f>ROUND(C23-E23-F23-G23-H23,0)</f>
        <v>6775</v>
      </c>
      <c r="E23" s="85">
        <v>868</v>
      </c>
      <c r="F23" s="85">
        <v>3481</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12195</v>
      </c>
      <c r="E24" s="60">
        <v>1205</v>
      </c>
      <c r="F24" s="60">
        <v>4817</v>
      </c>
      <c r="G24" s="60"/>
      <c r="H24" s="60"/>
      <c r="I24" s="60"/>
      <c r="J24" s="107"/>
      <c r="K24" s="107"/>
      <c r="L24" s="163"/>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911</v>
      </c>
      <c r="E25" s="125">
        <v>154</v>
      </c>
      <c r="F25" s="125">
        <v>616</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2" ht="16.5" customHeight="1">
      <c r="A30" s="11" t="s">
        <v>34</v>
      </c>
      <c r="B30" s="76"/>
      <c r="C30" s="77"/>
      <c r="D30" s="77"/>
      <c r="E30" s="77"/>
      <c r="F30" s="77"/>
      <c r="G30" s="77"/>
      <c r="H30" s="77"/>
      <c r="I30" s="77"/>
      <c r="J30" s="77"/>
      <c r="L30" s="164"/>
    </row>
    <row r="31" spans="1:20" s="6" customFormat="1" ht="12" customHeight="1">
      <c r="A31" s="30" t="s">
        <v>35</v>
      </c>
      <c r="B31" s="31" t="s">
        <v>11</v>
      </c>
      <c r="C31" s="33">
        <f>D31+J31</f>
        <v>4.66</v>
      </c>
      <c r="D31" s="81">
        <f>E31+F31+G31+H31+I31</f>
        <v>3.84</v>
      </c>
      <c r="E31" s="81">
        <f>ROUND(D19/C7,2)</f>
        <v>1.63</v>
      </c>
      <c r="F31" s="81">
        <f>ROUND(E19/C7,2)</f>
        <v>0.24</v>
      </c>
      <c r="G31" s="81">
        <f>ROUND(F19/C7,2)</f>
        <v>0.94</v>
      </c>
      <c r="H31" s="81">
        <f>ROUND(G19/C7,2)</f>
        <v>0.5</v>
      </c>
      <c r="I31" s="81">
        <f>ROUND(H19/C7,2)</f>
        <v>0.53</v>
      </c>
      <c r="J31" s="81">
        <f>ROUND(I19/C7,2)</f>
        <v>0.82</v>
      </c>
      <c r="K31" s="86"/>
      <c r="L31" s="86"/>
      <c r="M31" s="89"/>
      <c r="N31" s="90"/>
      <c r="O31" s="35"/>
      <c r="P31" s="35"/>
      <c r="Q31" s="88"/>
      <c r="R31" s="35"/>
      <c r="S31" s="35"/>
      <c r="T31" s="35"/>
    </row>
    <row r="32" spans="1:20" s="6" customFormat="1" ht="12" customHeight="1">
      <c r="A32" s="13" t="s">
        <v>36</v>
      </c>
      <c r="B32" s="4" t="s">
        <v>11</v>
      </c>
      <c r="C32" s="33">
        <f>D32+J32</f>
        <v>11.95</v>
      </c>
      <c r="D32" s="81">
        <f aca="true" t="shared" si="2" ref="D32:D37">E32+F32+G32+H32+I32</f>
        <v>11.209999999999999</v>
      </c>
      <c r="E32" s="81">
        <f>ROUND(D20/C8,2)</f>
        <v>1.36</v>
      </c>
      <c r="F32" s="81">
        <f>ROUND(E20/C8,2)</f>
        <v>0.24</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2.9799999999999995</v>
      </c>
      <c r="D33" s="81">
        <f t="shared" si="2"/>
        <v>2.6499999999999995</v>
      </c>
      <c r="E33" s="81">
        <f>ROUND(D21/C9,2)</f>
        <v>0.96</v>
      </c>
      <c r="F33" s="81">
        <f>ROUND(E21/C9,2)</f>
        <v>0.24</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2.9812296061771075</v>
      </c>
      <c r="D34" s="81">
        <f t="shared" si="2"/>
        <v>2.6089232061512617</v>
      </c>
      <c r="E34" s="81">
        <f>D22/C10</f>
        <v>0.8595289632668885</v>
      </c>
      <c r="F34" s="81">
        <f>E22/C10</f>
        <v>0.2354214454172455</v>
      </c>
      <c r="G34" s="81">
        <f>F22/C10</f>
        <v>0.9404581139146447</v>
      </c>
      <c r="H34" s="81">
        <f>G22/C10</f>
        <v>0.3042354537524634</v>
      </c>
      <c r="I34" s="81">
        <f>H22/C10</f>
        <v>0.2692792298000194</v>
      </c>
      <c r="J34" s="81">
        <f>I22/C10</f>
        <v>0.37230640002584564</v>
      </c>
      <c r="K34" s="86"/>
      <c r="L34" s="164"/>
      <c r="M34" s="89"/>
      <c r="N34" s="90"/>
      <c r="O34" s="35"/>
      <c r="P34" s="35"/>
      <c r="Q34" s="88"/>
      <c r="R34" s="35"/>
      <c r="S34" s="35"/>
      <c r="T34" s="35"/>
    </row>
    <row r="35" spans="1:20" s="6" customFormat="1" ht="12" customHeight="1">
      <c r="A35" s="13" t="s">
        <v>64</v>
      </c>
      <c r="B35" s="4" t="s">
        <v>11</v>
      </c>
      <c r="C35" s="14">
        <f>C23/C11</f>
        <v>3</v>
      </c>
      <c r="D35" s="81">
        <f t="shared" si="2"/>
        <v>3</v>
      </c>
      <c r="E35" s="81">
        <f>D23/C11</f>
        <v>1.8271305285868393</v>
      </c>
      <c r="F35" s="71">
        <f>E23/C11</f>
        <v>0.23408845738942827</v>
      </c>
      <c r="G35" s="71">
        <f>F23/C11</f>
        <v>0.9387810140237325</v>
      </c>
      <c r="H35" s="71"/>
      <c r="I35" s="14"/>
      <c r="J35" s="14"/>
      <c r="M35" s="89"/>
      <c r="N35" s="35"/>
      <c r="O35" s="35"/>
      <c r="P35" s="35"/>
      <c r="Q35" s="35"/>
      <c r="R35" s="35"/>
      <c r="S35" s="35"/>
      <c r="T35" s="35"/>
    </row>
    <row r="36" spans="1:13" ht="12" customHeight="1">
      <c r="A36" s="30" t="s">
        <v>65</v>
      </c>
      <c r="B36" s="31" t="s">
        <v>11</v>
      </c>
      <c r="C36" s="32">
        <v>3.56</v>
      </c>
      <c r="D36" s="81">
        <f t="shared" si="2"/>
        <v>3.5600938049638455</v>
      </c>
      <c r="E36" s="81">
        <f>D24/C12</f>
        <v>2.3832323627125267</v>
      </c>
      <c r="F36" s="81">
        <f>E24/C12</f>
        <v>0.23548954465507133</v>
      </c>
      <c r="G36" s="81">
        <f>F24/C12</f>
        <v>0.9413718975962478</v>
      </c>
      <c r="H36" s="72"/>
      <c r="I36" s="32"/>
      <c r="J36" s="32"/>
      <c r="M36" s="89"/>
    </row>
    <row r="37" spans="1:13" ht="12" customHeight="1" thickBot="1">
      <c r="A37" s="127" t="s">
        <v>6</v>
      </c>
      <c r="B37" s="10" t="s">
        <v>11</v>
      </c>
      <c r="C37" s="34">
        <v>2.57</v>
      </c>
      <c r="D37" s="82">
        <f t="shared" si="2"/>
        <v>2.5703363914373085</v>
      </c>
      <c r="E37" s="82">
        <f>D25/C13</f>
        <v>1.392966360856269</v>
      </c>
      <c r="F37" s="82">
        <f>E25/C13</f>
        <v>0.23547400611620795</v>
      </c>
      <c r="G37" s="82">
        <f>F25/C13</f>
        <v>0.9418960244648318</v>
      </c>
      <c r="H37" s="73"/>
      <c r="I37" s="34"/>
      <c r="J37" s="34"/>
      <c r="M37" s="89"/>
    </row>
    <row r="38" spans="1:3" ht="14.25" customHeight="1" thickBot="1">
      <c r="A38" s="15"/>
      <c r="B38" s="16"/>
      <c r="C38" s="2"/>
    </row>
    <row r="39" spans="1:6" ht="19.5" customHeight="1">
      <c r="A39" s="17" t="s">
        <v>12</v>
      </c>
      <c r="B39" s="18" t="s">
        <v>9</v>
      </c>
      <c r="C39" s="1">
        <f>C40+C42+C45+C47</f>
        <v>216961.6666666667</v>
      </c>
      <c r="D39" s="78"/>
      <c r="E39" t="s">
        <v>17</v>
      </c>
      <c r="F39" s="36"/>
    </row>
    <row r="40" spans="1:9" ht="16.5" customHeight="1">
      <c r="A40" s="58" t="s">
        <v>18</v>
      </c>
      <c r="B40" s="59" t="s">
        <v>9</v>
      </c>
      <c r="C40" s="60">
        <f>C41</f>
        <v>75866</v>
      </c>
      <c r="D40" s="79"/>
      <c r="I40" s="57"/>
    </row>
    <row r="41" spans="1:9" ht="12.75" customHeight="1">
      <c r="A41" s="8" t="s">
        <v>19</v>
      </c>
      <c r="B41" s="4" t="s">
        <v>9</v>
      </c>
      <c r="C41" s="12">
        <v>75866</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thickBot="1">
      <c r="A52" s="22"/>
      <c r="B52" s="23"/>
      <c r="C52" s="24"/>
      <c r="D52" s="24"/>
    </row>
    <row r="53" spans="1:20" s="168" customFormat="1" ht="21.75" customHeight="1">
      <c r="A53" s="165" t="s">
        <v>43</v>
      </c>
      <c r="B53" s="166"/>
      <c r="C53" s="167"/>
      <c r="K53" s="169"/>
      <c r="M53" s="170"/>
      <c r="N53" s="170"/>
      <c r="O53" s="170"/>
      <c r="P53" s="170"/>
      <c r="Q53" s="170"/>
      <c r="R53" s="170"/>
      <c r="S53" s="170"/>
      <c r="T53" s="170"/>
    </row>
    <row r="54" spans="1:20" s="173" customFormat="1" ht="24.75" customHeight="1">
      <c r="A54" s="147" t="s">
        <v>55</v>
      </c>
      <c r="B54" s="171" t="s">
        <v>9</v>
      </c>
      <c r="C54" s="172">
        <f>46802-C55</f>
        <v>34106</v>
      </c>
      <c r="D54" s="588">
        <f>SUM(C54:C55)</f>
        <v>46802</v>
      </c>
      <c r="E54" s="587">
        <f>D56-D54</f>
        <v>7263</v>
      </c>
      <c r="M54" s="174"/>
      <c r="N54" s="174"/>
      <c r="O54" s="174"/>
      <c r="P54" s="174"/>
      <c r="Q54" s="174"/>
      <c r="R54" s="174"/>
      <c r="S54" s="174"/>
      <c r="T54" s="174"/>
    </row>
    <row r="55" spans="1:20" s="168" customFormat="1" ht="24.75" customHeight="1">
      <c r="A55" s="147" t="s">
        <v>56</v>
      </c>
      <c r="B55" s="148" t="s">
        <v>9</v>
      </c>
      <c r="C55" s="116">
        <v>12696</v>
      </c>
      <c r="D55" s="588"/>
      <c r="E55" s="587"/>
      <c r="M55" s="170"/>
      <c r="N55" s="170"/>
      <c r="O55" s="170"/>
      <c r="P55" s="170"/>
      <c r="Q55" s="170"/>
      <c r="R55" s="170"/>
      <c r="S55" s="170"/>
      <c r="T55" s="170"/>
    </row>
    <row r="56" spans="1:20" s="168" customFormat="1" ht="27" customHeight="1">
      <c r="A56" s="175" t="s">
        <v>79</v>
      </c>
      <c r="B56" s="148" t="s">
        <v>9</v>
      </c>
      <c r="C56" s="176">
        <v>20123</v>
      </c>
      <c r="D56" s="588">
        <f>SUM(C56:C58)</f>
        <v>54065</v>
      </c>
      <c r="E56" s="587"/>
      <c r="F56" s="195"/>
      <c r="M56" s="170"/>
      <c r="N56" s="170"/>
      <c r="O56" s="170"/>
      <c r="P56" s="170"/>
      <c r="Q56" s="170"/>
      <c r="R56" s="170"/>
      <c r="S56" s="170"/>
      <c r="T56" s="170"/>
    </row>
    <row r="57" spans="1:20" s="168" customFormat="1" ht="27" customHeight="1">
      <c r="A57" s="175" t="s">
        <v>44</v>
      </c>
      <c r="B57" s="148" t="s">
        <v>9</v>
      </c>
      <c r="C57" s="176">
        <v>2200</v>
      </c>
      <c r="D57" s="588"/>
      <c r="E57" s="587"/>
      <c r="G57" s="177"/>
      <c r="M57" s="170"/>
      <c r="N57" s="170"/>
      <c r="O57" s="170"/>
      <c r="P57" s="170"/>
      <c r="Q57" s="170"/>
      <c r="R57" s="170"/>
      <c r="S57" s="170"/>
      <c r="T57" s="170"/>
    </row>
    <row r="58" spans="1:20" s="168" customFormat="1" ht="30.75" customHeight="1" thickBot="1">
      <c r="A58" s="178" t="s">
        <v>53</v>
      </c>
      <c r="B58" s="179"/>
      <c r="C58" s="180">
        <v>31742</v>
      </c>
      <c r="D58" s="588"/>
      <c r="E58" s="587"/>
      <c r="M58" s="170"/>
      <c r="N58" s="170"/>
      <c r="O58" s="170"/>
      <c r="P58" s="170"/>
      <c r="Q58" s="170"/>
      <c r="R58" s="170"/>
      <c r="S58" s="170"/>
      <c r="T58" s="170"/>
    </row>
    <row r="59" spans="1:4" s="170" customFormat="1" ht="11.25" customHeight="1">
      <c r="A59" s="181"/>
      <c r="B59" s="182"/>
      <c r="C59" s="183"/>
      <c r="D59" s="183"/>
    </row>
    <row r="60" spans="1:4" s="170" customFormat="1" ht="11.25" customHeight="1">
      <c r="A60" s="181"/>
      <c r="B60" s="182"/>
      <c r="C60" s="183"/>
      <c r="D60" s="183"/>
    </row>
    <row r="61" spans="1:208"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 s="168" customFormat="1" ht="38.25" customHeight="1" thickBot="1">
      <c r="A62" s="184" t="s">
        <v>54</v>
      </c>
      <c r="B62" s="185" t="s">
        <v>9</v>
      </c>
      <c r="C62" s="186">
        <f>C63+C64</f>
        <v>26500</v>
      </c>
      <c r="E62" s="187" t="s">
        <v>50</v>
      </c>
      <c r="G62" s="188"/>
      <c r="H62" s="188"/>
      <c r="M62" s="170"/>
      <c r="N62" s="170"/>
      <c r="O62" s="170"/>
      <c r="P62" s="170"/>
      <c r="Q62" s="170"/>
      <c r="R62" s="170"/>
      <c r="S62" s="170"/>
      <c r="T62" s="170"/>
    </row>
    <row r="63" spans="1:208" s="170" customFormat="1" ht="14.25" customHeight="1">
      <c r="A63" s="189" t="s">
        <v>68</v>
      </c>
      <c r="B63" s="190" t="s">
        <v>9</v>
      </c>
      <c r="C63" s="191">
        <v>8500</v>
      </c>
      <c r="D63" s="44"/>
      <c r="E63" s="44"/>
      <c r="F63" s="44" t="s">
        <v>51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170" customFormat="1" ht="14.25" customHeight="1" thickBot="1">
      <c r="A64" s="192" t="s">
        <v>30</v>
      </c>
      <c r="B64" s="193" t="s">
        <v>9</v>
      </c>
      <c r="C64" s="194">
        <v>18000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6.5" customHeight="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47.25" customHeight="1">
      <c r="A67" s="571" t="s">
        <v>78</v>
      </c>
      <c r="B67" s="571"/>
      <c r="C67" s="571"/>
      <c r="D67" s="571"/>
      <c r="E67" s="571"/>
      <c r="F67" s="571"/>
      <c r="G67" s="571"/>
      <c r="H67" s="571"/>
      <c r="I67" s="571"/>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18" customHeight="1">
      <c r="A68" s="572"/>
      <c r="B68" s="57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3" s="26" customFormat="1" ht="12.75">
      <c r="A69" s="46"/>
      <c r="B69" s="45"/>
      <c r="C69" s="50"/>
    </row>
    <row r="70" spans="1:3" s="26" customFormat="1" ht="15">
      <c r="A70" s="43"/>
      <c r="B70" s="43"/>
      <c r="C70" s="50"/>
    </row>
    <row r="71" spans="1:3" s="26" customFormat="1" ht="15">
      <c r="A71" s="43"/>
      <c r="B71" s="44"/>
      <c r="C71" s="87"/>
    </row>
    <row r="72" spans="1:3" s="26" customFormat="1" ht="15">
      <c r="A72" s="48"/>
      <c r="B72" s="49"/>
      <c r="C72" s="149"/>
    </row>
    <row r="73" spans="1:3" s="26" customFormat="1" ht="15">
      <c r="A73" s="48"/>
      <c r="B73" s="49"/>
      <c r="C73" s="150"/>
    </row>
    <row r="74" spans="1:2" s="26" customFormat="1" ht="15">
      <c r="A74" s="43"/>
      <c r="B74" s="43"/>
    </row>
    <row r="75" spans="1:3" s="26" customFormat="1" ht="14.25">
      <c r="A75" s="573"/>
      <c r="B75" s="573"/>
      <c r="C75" s="87"/>
    </row>
    <row r="76" spans="1:3" s="26" customFormat="1" ht="12.75">
      <c r="A76" s="151"/>
      <c r="C76" s="152"/>
    </row>
    <row r="77" s="26" customFormat="1" ht="12.75"/>
    <row r="78" s="26" customFormat="1" ht="12.75"/>
  </sheetData>
  <sheetProtection/>
  <mergeCells count="20">
    <mergeCell ref="D54:D55"/>
    <mergeCell ref="J27:J28"/>
    <mergeCell ref="A1:D1"/>
    <mergeCell ref="A2:D2"/>
    <mergeCell ref="A3:D3"/>
    <mergeCell ref="C5:D5"/>
    <mergeCell ref="A27:A28"/>
    <mergeCell ref="B27:B28"/>
    <mergeCell ref="C27:C28"/>
    <mergeCell ref="D27:D28"/>
    <mergeCell ref="E54:E58"/>
    <mergeCell ref="A67:I67"/>
    <mergeCell ref="A68:B68"/>
    <mergeCell ref="A75:B75"/>
    <mergeCell ref="E27:E28"/>
    <mergeCell ref="F27:F28"/>
    <mergeCell ref="G27:G28"/>
    <mergeCell ref="H27:H28"/>
    <mergeCell ref="I27:I28"/>
    <mergeCell ref="D56:D5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GZ71"/>
  <sheetViews>
    <sheetView zoomScalePageLayoutView="0" workbookViewId="0" topLeftCell="A4">
      <selection activeCell="F53" sqref="F53"/>
    </sheetView>
  </sheetViews>
  <sheetFormatPr defaultColWidth="9.140625" defaultRowHeight="12.75"/>
  <cols>
    <col min="1" max="1" width="59.14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bestFit="1" customWidth="1"/>
    <col min="13" max="13" width="12.140625" style="26" customWidth="1"/>
    <col min="14" max="14" width="9.140625" style="26" customWidth="1"/>
    <col min="15" max="15" width="9.28125" style="26" bestFit="1" customWidth="1"/>
    <col min="16" max="20" width="9.140625" style="26" customWidth="1"/>
  </cols>
  <sheetData>
    <row r="1" spans="1:8" ht="23.25" customHeight="1">
      <c r="A1" s="578" t="s">
        <v>20</v>
      </c>
      <c r="B1" s="578"/>
      <c r="C1" s="578"/>
      <c r="D1" s="578"/>
      <c r="H1" s="162"/>
    </row>
    <row r="2" spans="1:4" ht="12.75" customHeight="1">
      <c r="A2" s="579" t="s">
        <v>76</v>
      </c>
      <c r="B2" s="579"/>
      <c r="C2" s="579"/>
      <c r="D2" s="579"/>
    </row>
    <row r="3" spans="1:4" ht="12.75" customHeight="1" hidden="1">
      <c r="A3" s="580" t="s">
        <v>32</v>
      </c>
      <c r="B3" s="580"/>
      <c r="C3" s="580"/>
      <c r="D3" s="580"/>
    </row>
    <row r="4" spans="1:4" ht="13.5" customHeight="1" thickBot="1">
      <c r="A4" s="29"/>
      <c r="B4" s="29"/>
      <c r="C4" s="29"/>
      <c r="D4" s="29"/>
    </row>
    <row r="5" spans="1:12" ht="37.5" customHeight="1" thickBot="1">
      <c r="A5" s="63" t="s">
        <v>0</v>
      </c>
      <c r="B5" s="64" t="s">
        <v>1</v>
      </c>
      <c r="C5" s="581" t="s">
        <v>75</v>
      </c>
      <c r="D5" s="582"/>
      <c r="F5" s="54"/>
      <c r="J5" s="54"/>
      <c r="K5" s="54"/>
      <c r="L5" s="54"/>
    </row>
    <row r="6" spans="1:4" ht="19.5" customHeight="1">
      <c r="A6" s="95" t="s">
        <v>2</v>
      </c>
      <c r="B6" s="96" t="s">
        <v>3</v>
      </c>
      <c r="C6" s="154">
        <f>C7+C8+C9+C12+C13</f>
        <v>59373</v>
      </c>
      <c r="D6" s="155">
        <f>D7+D8+D9+D12+D13</f>
        <v>1.0000000000000002</v>
      </c>
    </row>
    <row r="7" spans="1:20" s="6" customFormat="1" ht="21" customHeight="1">
      <c r="A7" s="58" t="s">
        <v>4</v>
      </c>
      <c r="B7" s="59" t="s">
        <v>3</v>
      </c>
      <c r="C7" s="60">
        <v>14260</v>
      </c>
      <c r="D7" s="157">
        <f>14260/59373</f>
        <v>0.2401765112087986</v>
      </c>
      <c r="F7" s="55"/>
      <c r="J7" s="55"/>
      <c r="K7" s="55"/>
      <c r="L7" s="55"/>
      <c r="M7" s="35"/>
      <c r="N7" s="35"/>
      <c r="O7" s="35"/>
      <c r="P7" s="35"/>
      <c r="Q7" s="35"/>
      <c r="R7" s="35"/>
      <c r="S7" s="35"/>
      <c r="T7" s="35"/>
    </row>
    <row r="8" spans="1:20" s="6" customFormat="1" ht="21" customHeight="1">
      <c r="A8" s="58" t="s">
        <v>8</v>
      </c>
      <c r="B8" s="59" t="s">
        <v>3</v>
      </c>
      <c r="C8" s="60">
        <v>4517</v>
      </c>
      <c r="D8" s="157">
        <f>4517/59373</f>
        <v>0.07607835211291328</v>
      </c>
      <c r="E8" s="35"/>
      <c r="M8" s="35"/>
      <c r="N8" s="35"/>
      <c r="O8" s="35"/>
      <c r="P8" s="35"/>
      <c r="Q8" s="35"/>
      <c r="R8" s="35"/>
      <c r="S8" s="35"/>
      <c r="T8" s="35"/>
    </row>
    <row r="9" spans="1:20" s="6" customFormat="1" ht="21" customHeight="1">
      <c r="A9" s="58" t="s">
        <v>21</v>
      </c>
      <c r="B9" s="59" t="s">
        <v>3</v>
      </c>
      <c r="C9" s="60">
        <f>C10+C11</f>
        <v>34825</v>
      </c>
      <c r="D9" s="157">
        <f>D10+D11</f>
        <v>0.5865460731308845</v>
      </c>
      <c r="M9" s="35"/>
      <c r="N9" s="35"/>
      <c r="O9" s="35"/>
      <c r="P9" s="35"/>
      <c r="Q9" s="35"/>
      <c r="R9" s="35"/>
      <c r="S9" s="35"/>
      <c r="T9" s="35"/>
    </row>
    <row r="10" spans="1:20" s="6" customFormat="1" ht="21" customHeight="1">
      <c r="A10" s="97" t="s">
        <v>48</v>
      </c>
      <c r="B10" s="59" t="s">
        <v>3</v>
      </c>
      <c r="C10" s="85">
        <f>29246+1415+1413+442</f>
        <v>32516</v>
      </c>
      <c r="D10" s="156">
        <f>32516/59373</f>
        <v>0.5476563421083658</v>
      </c>
      <c r="E10" s="27"/>
      <c r="M10" s="35"/>
      <c r="N10" s="35"/>
      <c r="O10" s="35"/>
      <c r="P10" s="35"/>
      <c r="Q10" s="35"/>
      <c r="R10" s="35"/>
      <c r="S10" s="35"/>
      <c r="T10" s="35"/>
    </row>
    <row r="11" spans="1:20" s="6" customFormat="1" ht="21" customHeight="1">
      <c r="A11" s="97" t="s">
        <v>64</v>
      </c>
      <c r="B11" s="59" t="s">
        <v>3</v>
      </c>
      <c r="C11" s="98">
        <f>5579-1415-1413-442</f>
        <v>2309</v>
      </c>
      <c r="D11" s="156">
        <f>2309/59373</f>
        <v>0.03888973102251865</v>
      </c>
      <c r="M11" s="35"/>
      <c r="N11" s="35"/>
      <c r="O11" s="35"/>
      <c r="P11" s="35"/>
      <c r="Q11" s="35"/>
      <c r="R11" s="35"/>
      <c r="S11" s="35"/>
      <c r="T11" s="35"/>
    </row>
    <row r="12" spans="1:4" ht="21" customHeight="1">
      <c r="A12" s="99" t="s">
        <v>65</v>
      </c>
      <c r="B12" s="100" t="s">
        <v>3</v>
      </c>
      <c r="C12" s="101">
        <v>5117</v>
      </c>
      <c r="D12" s="157">
        <f>5117/59373</f>
        <v>0.08618395567008573</v>
      </c>
    </row>
    <row r="13" spans="1:9" ht="21" customHeight="1" thickBot="1">
      <c r="A13" s="58" t="s">
        <v>66</v>
      </c>
      <c r="B13" s="59" t="s">
        <v>3</v>
      </c>
      <c r="C13" s="102">
        <v>654</v>
      </c>
      <c r="D13" s="158">
        <f>654/59373</f>
        <v>0.011015107877317973</v>
      </c>
      <c r="I13" s="26"/>
    </row>
    <row r="14" spans="1:15" ht="12" customHeight="1" hidden="1">
      <c r="A14" s="8" t="s">
        <v>7</v>
      </c>
      <c r="B14" s="4" t="s">
        <v>3</v>
      </c>
      <c r="C14" s="7">
        <v>663</v>
      </c>
      <c r="I14" s="39"/>
      <c r="N14" s="39"/>
      <c r="O14" s="39"/>
    </row>
    <row r="15" spans="1:9" ht="15.75" customHeight="1" thickBot="1">
      <c r="A15" s="65"/>
      <c r="B15" s="66"/>
      <c r="C15" s="67"/>
      <c r="F15" s="61"/>
      <c r="G15" s="61"/>
      <c r="H15" s="61"/>
      <c r="I15" s="56"/>
    </row>
    <row r="16" spans="1:9" ht="100.5" customHeight="1" thickBot="1">
      <c r="A16" s="63" t="s">
        <v>0</v>
      </c>
      <c r="B16" s="64" t="s">
        <v>1</v>
      </c>
      <c r="C16" s="75" t="s">
        <v>24</v>
      </c>
      <c r="D16" s="75" t="s">
        <v>25</v>
      </c>
      <c r="E16" s="83" t="s">
        <v>41</v>
      </c>
      <c r="F16" s="75" t="s">
        <v>22</v>
      </c>
      <c r="G16" s="68" t="s">
        <v>38</v>
      </c>
      <c r="H16" s="68" t="s">
        <v>39</v>
      </c>
      <c r="I16" s="75" t="s">
        <v>23</v>
      </c>
    </row>
    <row r="17" spans="1:9" ht="16.5" customHeight="1" thickBot="1">
      <c r="A17" s="70">
        <v>1</v>
      </c>
      <c r="B17" s="69">
        <v>2</v>
      </c>
      <c r="C17" s="68">
        <v>3</v>
      </c>
      <c r="D17" s="68">
        <v>4</v>
      </c>
      <c r="E17" s="68">
        <v>5</v>
      </c>
      <c r="F17" s="68">
        <v>6</v>
      </c>
      <c r="G17" s="68">
        <v>7</v>
      </c>
      <c r="H17" s="68">
        <v>8</v>
      </c>
      <c r="I17" s="68">
        <v>9</v>
      </c>
    </row>
    <row r="18" spans="1:20" s="108" customFormat="1" ht="19.5" customHeight="1">
      <c r="A18" s="105" t="s">
        <v>33</v>
      </c>
      <c r="B18" s="96" t="s">
        <v>9</v>
      </c>
      <c r="C18" s="106">
        <f aca="true" t="shared" si="0" ref="C18:I18">C19+C20+C21+C24+C25</f>
        <v>216962</v>
      </c>
      <c r="D18" s="106">
        <f t="shared" si="0"/>
        <v>75866</v>
      </c>
      <c r="E18" s="106">
        <f t="shared" si="0"/>
        <v>13924</v>
      </c>
      <c r="F18" s="106">
        <f t="shared" si="0"/>
        <v>55652</v>
      </c>
      <c r="G18" s="106">
        <f t="shared" si="0"/>
        <v>51822</v>
      </c>
      <c r="H18" s="106">
        <f t="shared" si="0"/>
        <v>19698</v>
      </c>
      <c r="I18" s="106">
        <f t="shared" si="0"/>
        <v>26500.03356049891</v>
      </c>
      <c r="J18" s="107"/>
      <c r="K18" s="159"/>
      <c r="L18" s="107"/>
      <c r="M18" s="109"/>
      <c r="N18" s="110"/>
      <c r="O18" s="110"/>
      <c r="P18" s="111"/>
      <c r="Q18" s="111"/>
      <c r="R18" s="111"/>
      <c r="S18" s="111"/>
      <c r="T18" s="111"/>
    </row>
    <row r="19" spans="1:20" s="114" customFormat="1" ht="21" customHeight="1">
      <c r="A19" s="58" t="s">
        <v>4</v>
      </c>
      <c r="B19" s="59" t="s">
        <v>9</v>
      </c>
      <c r="C19" s="112">
        <f>54576+2</f>
        <v>54578</v>
      </c>
      <c r="D19" s="112">
        <f>ROUND(C19-E19-F19-G19-H19,0)</f>
        <v>23258</v>
      </c>
      <c r="E19" s="112">
        <v>3344</v>
      </c>
      <c r="F19" s="112">
        <v>13364</v>
      </c>
      <c r="G19" s="112">
        <f>5842+1286</f>
        <v>7128</v>
      </c>
      <c r="H19" s="112">
        <v>7484</v>
      </c>
      <c r="I19" s="112">
        <f>26500*(58575/171094)+1350+1500-300</f>
        <v>11622.425099652823</v>
      </c>
      <c r="J19" s="107"/>
      <c r="K19" s="107"/>
      <c r="L19" s="107"/>
      <c r="M19" s="109"/>
      <c r="N19" s="79"/>
      <c r="O19" s="79"/>
      <c r="P19" s="113"/>
      <c r="Q19" s="113"/>
      <c r="R19" s="113"/>
      <c r="S19" s="113"/>
      <c r="T19" s="113"/>
    </row>
    <row r="20" spans="1:20" s="114" customFormat="1" ht="21" customHeight="1">
      <c r="A20" s="58" t="s">
        <v>10</v>
      </c>
      <c r="B20" s="59" t="s">
        <v>9</v>
      </c>
      <c r="C20" s="112">
        <f>49350+1857-142-142-315</f>
        <v>50608</v>
      </c>
      <c r="D20" s="112">
        <f>ROUND(C20-E20-F20-G20-H20,0)</f>
        <v>6155</v>
      </c>
      <c r="E20" s="112">
        <v>1060</v>
      </c>
      <c r="F20" s="112">
        <v>4237</v>
      </c>
      <c r="G20" s="112">
        <f>30123+5154</f>
        <v>35277</v>
      </c>
      <c r="H20" s="112">
        <v>3879</v>
      </c>
      <c r="I20" s="112">
        <f>26500*(47355/171094)-3281-1000+300</f>
        <v>3353.608460846085</v>
      </c>
      <c r="J20" s="107"/>
      <c r="K20" s="107"/>
      <c r="L20" s="107"/>
      <c r="M20" s="109"/>
      <c r="N20" s="79"/>
      <c r="O20" s="79"/>
      <c r="P20" s="113"/>
      <c r="Q20" s="113"/>
      <c r="R20" s="113"/>
      <c r="S20" s="113"/>
      <c r="T20" s="113"/>
    </row>
    <row r="21" spans="1:20" s="114" customFormat="1" ht="21" customHeight="1">
      <c r="A21" s="58" t="s">
        <v>5</v>
      </c>
      <c r="B21" s="59" t="s">
        <v>9</v>
      </c>
      <c r="C21" s="112">
        <f aca="true" t="shared" si="1" ref="C21:I21">C22+C23</f>
        <v>91878</v>
      </c>
      <c r="D21" s="112">
        <f t="shared" si="1"/>
        <v>33320</v>
      </c>
      <c r="E21" s="112">
        <f t="shared" si="1"/>
        <v>8167</v>
      </c>
      <c r="F21" s="112">
        <f t="shared" si="1"/>
        <v>32639</v>
      </c>
      <c r="G21" s="112">
        <f t="shared" si="1"/>
        <v>9417</v>
      </c>
      <c r="H21" s="112">
        <f t="shared" si="1"/>
        <v>8335</v>
      </c>
      <c r="I21" s="112">
        <f t="shared" si="1"/>
        <v>11524</v>
      </c>
      <c r="J21" s="107"/>
      <c r="K21" s="161"/>
      <c r="L21" s="107"/>
      <c r="M21" s="160"/>
      <c r="N21" s="79"/>
      <c r="O21" s="79"/>
      <c r="P21" s="115"/>
      <c r="Q21" s="113"/>
      <c r="R21" s="113"/>
      <c r="S21" s="113"/>
      <c r="T21" s="113"/>
    </row>
    <row r="22" spans="1:20" s="108" customFormat="1" ht="16.5" customHeight="1">
      <c r="A22" s="97" t="s">
        <v>46</v>
      </c>
      <c r="B22" s="59" t="s">
        <v>9</v>
      </c>
      <c r="C22" s="116">
        <f>80752+4199</f>
        <v>84951</v>
      </c>
      <c r="D22" s="153">
        <f>ROUND(C22-E22-F22-G22-H22,0)</f>
        <v>29106</v>
      </c>
      <c r="E22" s="116">
        <v>7624</v>
      </c>
      <c r="F22" s="116">
        <v>30469</v>
      </c>
      <c r="G22" s="116">
        <f>7000+750+1667</f>
        <v>9417</v>
      </c>
      <c r="H22" s="116">
        <v>8335</v>
      </c>
      <c r="I22" s="153">
        <f>ROUND(26500*(65164/171094)+1731-300,0)</f>
        <v>11524</v>
      </c>
      <c r="J22" s="107"/>
      <c r="K22" s="107"/>
      <c r="L22" s="107"/>
      <c r="M22" s="109"/>
      <c r="N22" s="79"/>
      <c r="O22" s="79"/>
      <c r="P22" s="111"/>
      <c r="Q22" s="111"/>
      <c r="R22" s="111"/>
      <c r="S22" s="111"/>
      <c r="T22" s="111"/>
    </row>
    <row r="23" spans="1:20" s="108" customFormat="1" ht="16.5" customHeight="1">
      <c r="A23" s="97" t="s">
        <v>64</v>
      </c>
      <c r="B23" s="59" t="s">
        <v>9</v>
      </c>
      <c r="C23" s="116">
        <f>2309*3</f>
        <v>6927</v>
      </c>
      <c r="D23" s="116">
        <f>ROUND(C23-E23-F23-G23-H23,0)</f>
        <v>4214</v>
      </c>
      <c r="E23" s="85">
        <v>543</v>
      </c>
      <c r="F23" s="85">
        <v>2170</v>
      </c>
      <c r="G23" s="116"/>
      <c r="H23" s="116"/>
      <c r="I23" s="116"/>
      <c r="J23" s="107"/>
      <c r="K23" s="107"/>
      <c r="L23" s="107"/>
      <c r="M23" s="109"/>
      <c r="N23" s="117"/>
      <c r="O23" s="118"/>
      <c r="P23" s="109"/>
      <c r="Q23" s="111"/>
      <c r="R23" s="111"/>
      <c r="S23" s="111"/>
      <c r="T23" s="111"/>
    </row>
    <row r="24" spans="1:20" s="108" customFormat="1" ht="21" customHeight="1">
      <c r="A24" s="119" t="s">
        <v>65</v>
      </c>
      <c r="B24" s="59" t="s">
        <v>9</v>
      </c>
      <c r="C24" s="120">
        <f>ROUND(5117*3.56,0)</f>
        <v>18217</v>
      </c>
      <c r="D24" s="112">
        <f>ROUND(C24-E24-F24-G24-H24,0)</f>
        <v>12218</v>
      </c>
      <c r="E24" s="60">
        <v>1200</v>
      </c>
      <c r="F24" s="60">
        <v>4799</v>
      </c>
      <c r="G24" s="60"/>
      <c r="H24" s="60"/>
      <c r="I24" s="60"/>
      <c r="J24" s="107"/>
      <c r="K24" s="107"/>
      <c r="L24" s="163"/>
      <c r="M24" s="107"/>
      <c r="N24" s="79"/>
      <c r="O24" s="107"/>
      <c r="P24" s="111"/>
      <c r="Q24" s="111"/>
      <c r="R24" s="111"/>
      <c r="S24" s="111"/>
      <c r="T24" s="111"/>
    </row>
    <row r="25" spans="1:20" s="108" customFormat="1" ht="21" customHeight="1" thickBot="1">
      <c r="A25" s="121" t="s">
        <v>66</v>
      </c>
      <c r="B25" s="122" t="s">
        <v>9</v>
      </c>
      <c r="C25" s="123">
        <f>ROUND(654*2.57,0)</f>
        <v>1681</v>
      </c>
      <c r="D25" s="124">
        <f>ROUND(C25-E25-F25-G25-H25,0)</f>
        <v>915</v>
      </c>
      <c r="E25" s="125">
        <v>153</v>
      </c>
      <c r="F25" s="125">
        <v>613</v>
      </c>
      <c r="G25" s="125"/>
      <c r="H25" s="125"/>
      <c r="I25" s="125"/>
      <c r="J25" s="107"/>
      <c r="K25" s="107"/>
      <c r="L25" s="107"/>
      <c r="M25" s="126"/>
      <c r="N25" s="126"/>
      <c r="O25" s="126"/>
      <c r="P25" s="109"/>
      <c r="Q25" s="111"/>
      <c r="R25" s="111"/>
      <c r="S25" s="111"/>
      <c r="T25" s="111"/>
    </row>
    <row r="26" spans="1:12" ht="14.25" customHeight="1" thickBot="1">
      <c r="A26" s="103"/>
      <c r="B26" s="23"/>
      <c r="C26" s="25"/>
      <c r="F26" s="104"/>
      <c r="I26" s="26"/>
      <c r="J26" s="6"/>
      <c r="K26" s="27"/>
      <c r="L26" s="6"/>
    </row>
    <row r="27" spans="1:12" ht="44.25" customHeight="1">
      <c r="A27" s="583" t="s">
        <v>0</v>
      </c>
      <c r="B27" s="585" t="s">
        <v>1</v>
      </c>
      <c r="C27" s="574" t="s">
        <v>45</v>
      </c>
      <c r="D27" s="574" t="s">
        <v>67</v>
      </c>
      <c r="E27" s="574" t="s">
        <v>26</v>
      </c>
      <c r="F27" s="574" t="s">
        <v>40</v>
      </c>
      <c r="G27" s="574" t="s">
        <v>27</v>
      </c>
      <c r="H27" s="574" t="s">
        <v>28</v>
      </c>
      <c r="I27" s="574" t="s">
        <v>37</v>
      </c>
      <c r="J27" s="576" t="s">
        <v>29</v>
      </c>
      <c r="K27" s="6"/>
      <c r="L27" s="6"/>
    </row>
    <row r="28" spans="1:12" ht="87.75" customHeight="1" thickBot="1">
      <c r="A28" s="584"/>
      <c r="B28" s="586"/>
      <c r="C28" s="575"/>
      <c r="D28" s="575"/>
      <c r="E28" s="575"/>
      <c r="F28" s="575"/>
      <c r="G28" s="575"/>
      <c r="H28" s="575"/>
      <c r="I28" s="575"/>
      <c r="J28" s="577"/>
      <c r="K28" s="6"/>
      <c r="L28" s="6"/>
    </row>
    <row r="29" spans="1:10" ht="16.5" customHeight="1" thickBot="1">
      <c r="A29" s="74">
        <v>1</v>
      </c>
      <c r="B29" s="64">
        <v>2</v>
      </c>
      <c r="C29" s="75">
        <v>3</v>
      </c>
      <c r="D29" s="75">
        <v>4</v>
      </c>
      <c r="E29" s="75">
        <v>5</v>
      </c>
      <c r="F29" s="75">
        <v>6</v>
      </c>
      <c r="G29" s="75">
        <v>7</v>
      </c>
      <c r="H29" s="75">
        <v>8</v>
      </c>
      <c r="I29" s="75">
        <v>9</v>
      </c>
      <c r="J29" s="75">
        <v>9</v>
      </c>
    </row>
    <row r="30" spans="1:12" ht="16.5" customHeight="1">
      <c r="A30" s="11" t="s">
        <v>34</v>
      </c>
      <c r="B30" s="76"/>
      <c r="C30" s="77"/>
      <c r="D30" s="77"/>
      <c r="E30" s="77"/>
      <c r="F30" s="77"/>
      <c r="G30" s="77"/>
      <c r="H30" s="77"/>
      <c r="I30" s="77"/>
      <c r="J30" s="77"/>
      <c r="L30" s="164"/>
    </row>
    <row r="31" spans="1:20" s="6" customFormat="1" ht="12" customHeight="1">
      <c r="A31" s="30" t="s">
        <v>35</v>
      </c>
      <c r="B31" s="31" t="s">
        <v>11</v>
      </c>
      <c r="C31" s="33">
        <f>D31+J31</f>
        <v>4.64</v>
      </c>
      <c r="D31" s="81">
        <f>E31+F31+G31+H31+I31</f>
        <v>3.82</v>
      </c>
      <c r="E31" s="81">
        <f>ROUND(D19/C7,2)</f>
        <v>1.63</v>
      </c>
      <c r="F31" s="81">
        <f>ROUND(E19/C7,2)</f>
        <v>0.23</v>
      </c>
      <c r="G31" s="81">
        <f>ROUND(F19/C7,2)</f>
        <v>0.94</v>
      </c>
      <c r="H31" s="81">
        <f>ROUND(G19/C7,2)</f>
        <v>0.5</v>
      </c>
      <c r="I31" s="81">
        <f>ROUND(H19/C7,2)</f>
        <v>0.52</v>
      </c>
      <c r="J31" s="81">
        <f>ROUND(I19/C7,2)</f>
        <v>0.82</v>
      </c>
      <c r="K31" s="86"/>
      <c r="L31" s="86"/>
      <c r="M31" s="89"/>
      <c r="N31" s="90"/>
      <c r="O31" s="35"/>
      <c r="P31" s="35"/>
      <c r="Q31" s="88"/>
      <c r="R31" s="35"/>
      <c r="S31" s="35"/>
      <c r="T31" s="35"/>
    </row>
    <row r="32" spans="1:20" s="6" customFormat="1" ht="12" customHeight="1">
      <c r="A32" s="13" t="s">
        <v>36</v>
      </c>
      <c r="B32" s="4" t="s">
        <v>11</v>
      </c>
      <c r="C32" s="33">
        <f>D32+J32</f>
        <v>11.94</v>
      </c>
      <c r="D32" s="81">
        <f aca="true" t="shared" si="2" ref="D32:D37">E32+F32+G32+H32+I32</f>
        <v>11.2</v>
      </c>
      <c r="E32" s="81">
        <f>ROUND(D20/C8,2)</f>
        <v>1.36</v>
      </c>
      <c r="F32" s="81">
        <f>ROUND(E20/C8,2)</f>
        <v>0.23</v>
      </c>
      <c r="G32" s="81">
        <f>ROUND(F20/C8,2)</f>
        <v>0.94</v>
      </c>
      <c r="H32" s="81">
        <f>ROUND(G20/C8,2)</f>
        <v>7.81</v>
      </c>
      <c r="I32" s="81">
        <f>ROUND(H20/C8,2)</f>
        <v>0.86</v>
      </c>
      <c r="J32" s="81">
        <f>ROUND(I20/C8,2)</f>
        <v>0.74</v>
      </c>
      <c r="K32" s="86"/>
      <c r="L32" s="27"/>
      <c r="M32" s="89"/>
      <c r="N32" s="35"/>
      <c r="O32" s="35"/>
      <c r="P32" s="35"/>
      <c r="Q32" s="90"/>
      <c r="R32" s="35"/>
      <c r="S32" s="35"/>
      <c r="T32" s="35"/>
    </row>
    <row r="33" spans="1:20" s="6" customFormat="1" ht="12" customHeight="1">
      <c r="A33" s="13" t="s">
        <v>21</v>
      </c>
      <c r="B33" s="4" t="s">
        <v>11</v>
      </c>
      <c r="C33" s="33">
        <f>D33+J33</f>
        <v>2.9699999999999998</v>
      </c>
      <c r="D33" s="81">
        <f t="shared" si="2"/>
        <v>2.6399999999999997</v>
      </c>
      <c r="E33" s="81">
        <f>ROUND(D21/C9,2)</f>
        <v>0.96</v>
      </c>
      <c r="F33" s="81">
        <f>ROUND(E21/C9,2)</f>
        <v>0.23</v>
      </c>
      <c r="G33" s="81">
        <f>ROUND(F21/C9,2)</f>
        <v>0.94</v>
      </c>
      <c r="H33" s="81">
        <f>ROUND(G21/C9,2)</f>
        <v>0.27</v>
      </c>
      <c r="I33" s="81">
        <f>ROUND(H21/C9,2)</f>
        <v>0.24</v>
      </c>
      <c r="J33" s="81">
        <f>ROUND(I21/C9,2)</f>
        <v>0.33</v>
      </c>
      <c r="K33" s="86"/>
      <c r="L33" s="27"/>
      <c r="M33" s="89"/>
      <c r="N33" s="35"/>
      <c r="O33" s="35"/>
      <c r="P33" s="35"/>
      <c r="Q33" s="90"/>
      <c r="R33" s="35"/>
      <c r="S33" s="35"/>
      <c r="T33" s="35"/>
    </row>
    <row r="34" spans="1:20" s="6" customFormat="1" ht="12" customHeight="1">
      <c r="A34" s="13" t="s">
        <v>47</v>
      </c>
      <c r="B34" s="4" t="s">
        <v>11</v>
      </c>
      <c r="C34" s="33">
        <f>D34+J34</f>
        <v>2.9670008611145278</v>
      </c>
      <c r="D34" s="81">
        <f t="shared" si="2"/>
        <v>2.612590724566367</v>
      </c>
      <c r="E34" s="81">
        <f>D22/C10</f>
        <v>0.8951285520974289</v>
      </c>
      <c r="F34" s="81">
        <f>E22/C10</f>
        <v>0.2344691844015254</v>
      </c>
      <c r="G34" s="81">
        <f>F22/C10</f>
        <v>0.9370463771681634</v>
      </c>
      <c r="H34" s="81">
        <f>G22/C10</f>
        <v>0.2896112682986837</v>
      </c>
      <c r="I34" s="81">
        <f>H22/C10</f>
        <v>0.2563353426005659</v>
      </c>
      <c r="J34" s="81">
        <f>I22/C10</f>
        <v>0.3544101365481609</v>
      </c>
      <c r="K34" s="86"/>
      <c r="L34" s="164"/>
      <c r="M34" s="89"/>
      <c r="N34" s="90"/>
      <c r="O34" s="35"/>
      <c r="P34" s="35"/>
      <c r="Q34" s="88"/>
      <c r="R34" s="35"/>
      <c r="S34" s="35"/>
      <c r="T34" s="35"/>
    </row>
    <row r="35" spans="1:20" s="6" customFormat="1" ht="12" customHeight="1">
      <c r="A35" s="13" t="s">
        <v>64</v>
      </c>
      <c r="B35" s="4" t="s">
        <v>11</v>
      </c>
      <c r="C35" s="14">
        <f>C23/C11</f>
        <v>3</v>
      </c>
      <c r="D35" s="81">
        <f t="shared" si="2"/>
        <v>3</v>
      </c>
      <c r="E35" s="81">
        <f>D23/C11</f>
        <v>1.8250324815937635</v>
      </c>
      <c r="F35" s="71">
        <f>E23/C11</f>
        <v>0.23516673884798614</v>
      </c>
      <c r="G35" s="71">
        <f>F23/C11</f>
        <v>0.9398007795582504</v>
      </c>
      <c r="H35" s="71"/>
      <c r="I35" s="14"/>
      <c r="J35" s="14"/>
      <c r="M35" s="89"/>
      <c r="N35" s="35"/>
      <c r="O35" s="35"/>
      <c r="P35" s="35"/>
      <c r="Q35" s="35"/>
      <c r="R35" s="35"/>
      <c r="S35" s="35"/>
      <c r="T35" s="35"/>
    </row>
    <row r="36" spans="1:13" ht="12" customHeight="1">
      <c r="A36" s="30" t="s">
        <v>65</v>
      </c>
      <c r="B36" s="31" t="s">
        <v>11</v>
      </c>
      <c r="C36" s="32">
        <v>3.56</v>
      </c>
      <c r="D36" s="81">
        <f t="shared" si="2"/>
        <v>3.560093804963846</v>
      </c>
      <c r="E36" s="81">
        <f>D24/C12</f>
        <v>2.3877271838968146</v>
      </c>
      <c r="F36" s="81">
        <f>E24/C12</f>
        <v>0.2345124096150088</v>
      </c>
      <c r="G36" s="81">
        <f>F24/C12</f>
        <v>0.9378542114520226</v>
      </c>
      <c r="H36" s="72"/>
      <c r="I36" s="32"/>
      <c r="J36" s="32"/>
      <c r="M36" s="89"/>
    </row>
    <row r="37" spans="1:13" ht="12" customHeight="1" thickBot="1">
      <c r="A37" s="127" t="s">
        <v>6</v>
      </c>
      <c r="B37" s="10" t="s">
        <v>11</v>
      </c>
      <c r="C37" s="34">
        <v>2.57</v>
      </c>
      <c r="D37" s="82">
        <f t="shared" si="2"/>
        <v>2.570336391437309</v>
      </c>
      <c r="E37" s="82">
        <f>D25/C13</f>
        <v>1.3990825688073394</v>
      </c>
      <c r="F37" s="82">
        <f>E25/C13</f>
        <v>0.23394495412844038</v>
      </c>
      <c r="G37" s="82">
        <f>F25/C13</f>
        <v>0.9373088685015291</v>
      </c>
      <c r="H37" s="73"/>
      <c r="I37" s="34"/>
      <c r="J37" s="34"/>
      <c r="M37" s="89"/>
    </row>
    <row r="38" spans="1:3" ht="14.25" customHeight="1" thickBot="1">
      <c r="A38" s="15"/>
      <c r="B38" s="16"/>
      <c r="C38" s="2"/>
    </row>
    <row r="39" spans="1:6" ht="19.5" customHeight="1">
      <c r="A39" s="17" t="s">
        <v>12</v>
      </c>
      <c r="B39" s="18" t="s">
        <v>9</v>
      </c>
      <c r="C39" s="1">
        <f>C40+C42+C45+C47</f>
        <v>216961.6666666667</v>
      </c>
      <c r="D39" s="78"/>
      <c r="E39" t="s">
        <v>17</v>
      </c>
      <c r="F39" s="36"/>
    </row>
    <row r="40" spans="1:9" ht="16.5" customHeight="1">
      <c r="A40" s="58" t="s">
        <v>18</v>
      </c>
      <c r="B40" s="59" t="s">
        <v>9</v>
      </c>
      <c r="C40" s="60">
        <f>C41</f>
        <v>75866</v>
      </c>
      <c r="D40" s="79"/>
      <c r="I40" s="57"/>
    </row>
    <row r="41" spans="1:9" ht="12.75" customHeight="1">
      <c r="A41" s="8" t="s">
        <v>19</v>
      </c>
      <c r="B41" s="4" t="s">
        <v>9</v>
      </c>
      <c r="C41" s="12">
        <v>75866</v>
      </c>
      <c r="D41" s="24"/>
      <c r="I41" s="57"/>
    </row>
    <row r="42" spans="1:9" ht="12.75" customHeight="1">
      <c r="A42" s="3" t="s">
        <v>13</v>
      </c>
      <c r="B42" s="4" t="s">
        <v>9</v>
      </c>
      <c r="C42" s="5">
        <f>C43</f>
        <v>55652</v>
      </c>
      <c r="D42" s="25"/>
      <c r="I42" s="57"/>
    </row>
    <row r="43" spans="1:9" ht="12" customHeight="1">
      <c r="A43" s="9" t="s">
        <v>31</v>
      </c>
      <c r="B43" s="4" t="s">
        <v>9</v>
      </c>
      <c r="C43" s="19">
        <v>55652</v>
      </c>
      <c r="D43" s="80"/>
      <c r="I43" s="57"/>
    </row>
    <row r="44" spans="1:9" ht="12" customHeight="1" hidden="1">
      <c r="A44" s="9" t="s">
        <v>14</v>
      </c>
      <c r="B44" s="4" t="s">
        <v>9</v>
      </c>
      <c r="C44" s="19"/>
      <c r="D44" s="80"/>
      <c r="I44" s="57"/>
    </row>
    <row r="45" spans="1:9" ht="13.5" customHeight="1">
      <c r="A45" s="3" t="s">
        <v>15</v>
      </c>
      <c r="B45" s="4" t="s">
        <v>9</v>
      </c>
      <c r="C45" s="5">
        <f>C46</f>
        <v>13924</v>
      </c>
      <c r="D45" s="25"/>
      <c r="I45" s="57"/>
    </row>
    <row r="46" spans="1:9" ht="12" customHeight="1">
      <c r="A46" s="8" t="s">
        <v>42</v>
      </c>
      <c r="B46" s="4" t="s">
        <v>9</v>
      </c>
      <c r="C46" s="12">
        <v>13924</v>
      </c>
      <c r="D46" s="24"/>
      <c r="I46" s="57"/>
    </row>
    <row r="47" spans="1:9" ht="15" customHeight="1">
      <c r="A47" s="3" t="s">
        <v>16</v>
      </c>
      <c r="B47" s="4" t="s">
        <v>9</v>
      </c>
      <c r="C47" s="5">
        <f>C48+C49+C50</f>
        <v>71519.66666666667</v>
      </c>
      <c r="D47" s="25"/>
      <c r="I47" s="57"/>
    </row>
    <row r="48" spans="1:20" s="6" customFormat="1" ht="12" customHeight="1">
      <c r="A48" s="20" t="s">
        <v>4</v>
      </c>
      <c r="B48" s="4" t="s">
        <v>9</v>
      </c>
      <c r="C48" s="12">
        <f>7128+7484</f>
        <v>14612</v>
      </c>
      <c r="D48" s="24"/>
      <c r="F48" s="37"/>
      <c r="M48" s="35"/>
      <c r="N48" s="35"/>
      <c r="O48" s="35"/>
      <c r="P48" s="35"/>
      <c r="Q48" s="35"/>
      <c r="R48" s="35"/>
      <c r="S48" s="35"/>
      <c r="T48" s="35"/>
    </row>
    <row r="49" spans="1:20" s="6" customFormat="1" ht="12" customHeight="1">
      <c r="A49" s="20" t="s">
        <v>5</v>
      </c>
      <c r="B49" s="4" t="s">
        <v>9</v>
      </c>
      <c r="C49" s="12">
        <f>7750+8335+2000/1.2</f>
        <v>17751.666666666668</v>
      </c>
      <c r="D49" s="24"/>
      <c r="F49" s="37"/>
      <c r="M49" s="35"/>
      <c r="N49" s="35"/>
      <c r="O49" s="35"/>
      <c r="P49" s="35"/>
      <c r="Q49" s="35"/>
      <c r="R49" s="35"/>
      <c r="S49" s="35"/>
      <c r="T49" s="35"/>
    </row>
    <row r="50" spans="1:20" s="6" customFormat="1" ht="12" customHeight="1" thickBot="1">
      <c r="A50" s="21" t="s">
        <v>10</v>
      </c>
      <c r="B50" s="10" t="s">
        <v>9</v>
      </c>
      <c r="C50" s="40">
        <f>35277+3879</f>
        <v>39156</v>
      </c>
      <c r="D50" s="24"/>
      <c r="G50" s="38"/>
      <c r="H50" s="38"/>
      <c r="M50" s="35"/>
      <c r="N50" s="35"/>
      <c r="O50" s="35"/>
      <c r="P50" s="35"/>
      <c r="Q50" s="35"/>
      <c r="R50" s="35"/>
      <c r="S50" s="35"/>
      <c r="T50" s="35"/>
    </row>
    <row r="51" spans="1:4" s="26" customFormat="1" ht="11.25" customHeight="1">
      <c r="A51" s="22"/>
      <c r="B51" s="23"/>
      <c r="C51" s="24"/>
      <c r="D51" s="24"/>
    </row>
    <row r="52" spans="1:4" s="26" customFormat="1" ht="11.25" customHeight="1" thickBot="1">
      <c r="A52" s="22"/>
      <c r="B52" s="23"/>
      <c r="C52" s="24"/>
      <c r="D52" s="24"/>
    </row>
    <row r="53" spans="1:20" s="168" customFormat="1" ht="21.75" customHeight="1" thickBot="1">
      <c r="A53" s="196" t="s">
        <v>80</v>
      </c>
      <c r="B53" s="198" t="s">
        <v>9</v>
      </c>
      <c r="C53" s="197">
        <f>C39-C18</f>
        <v>-0.3333333333139308</v>
      </c>
      <c r="K53" s="169"/>
      <c r="M53" s="170"/>
      <c r="N53" s="170"/>
      <c r="O53" s="170"/>
      <c r="P53" s="170"/>
      <c r="Q53" s="170"/>
      <c r="R53" s="170"/>
      <c r="S53" s="170"/>
      <c r="T53" s="170"/>
    </row>
    <row r="54" spans="1:4" s="170" customFormat="1" ht="11.25" customHeight="1">
      <c r="A54" s="181"/>
      <c r="B54" s="182"/>
      <c r="C54" s="183"/>
      <c r="D54" s="183"/>
    </row>
    <row r="55" spans="1:4" s="170" customFormat="1" ht="11.25" customHeight="1">
      <c r="A55" s="181"/>
      <c r="B55" s="182"/>
      <c r="C55" s="183"/>
      <c r="D55" s="183"/>
    </row>
    <row r="56" spans="1:208" s="170" customFormat="1" ht="15" customHeight="1" thickBot="1">
      <c r="A56" s="43"/>
      <c r="B56" s="43"/>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row>
    <row r="57" spans="1:20" s="168" customFormat="1" ht="38.25" customHeight="1" thickBot="1">
      <c r="A57" s="184" t="s">
        <v>54</v>
      </c>
      <c r="B57" s="185" t="s">
        <v>9</v>
      </c>
      <c r="C57" s="186">
        <f>C58+C59</f>
        <v>26500</v>
      </c>
      <c r="E57" s="187" t="s">
        <v>50</v>
      </c>
      <c r="G57" s="188"/>
      <c r="H57" s="188"/>
      <c r="M57" s="170"/>
      <c r="N57" s="170"/>
      <c r="O57" s="170"/>
      <c r="P57" s="170"/>
      <c r="Q57" s="170"/>
      <c r="R57" s="170"/>
      <c r="S57" s="170"/>
      <c r="T57" s="170"/>
    </row>
    <row r="58" spans="1:208" s="170" customFormat="1" ht="14.25" customHeight="1">
      <c r="A58" s="189" t="s">
        <v>68</v>
      </c>
      <c r="B58" s="190" t="s">
        <v>9</v>
      </c>
      <c r="C58" s="191">
        <v>8500</v>
      </c>
      <c r="D58" s="44"/>
      <c r="E58" s="44"/>
      <c r="F58" s="44" t="s">
        <v>51</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row>
    <row r="59" spans="1:208" s="170" customFormat="1" ht="14.25" customHeight="1" thickBot="1">
      <c r="A59" s="192" t="s">
        <v>30</v>
      </c>
      <c r="B59" s="193" t="s">
        <v>9</v>
      </c>
      <c r="C59" s="194">
        <v>18000</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row>
    <row r="60" spans="1:208" s="170" customFormat="1" ht="14.25" customHeight="1">
      <c r="A60" s="43"/>
      <c r="B60" s="43"/>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row>
    <row r="61" spans="1:208" s="26" customFormat="1" ht="16.5" customHeigh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8" s="26" customFormat="1" ht="47.25" customHeight="1">
      <c r="A62" s="571" t="s">
        <v>78</v>
      </c>
      <c r="B62" s="571"/>
      <c r="C62" s="571"/>
      <c r="D62" s="571"/>
      <c r="E62" s="571"/>
      <c r="F62" s="571"/>
      <c r="G62" s="571"/>
      <c r="H62" s="571"/>
      <c r="I62" s="571"/>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row>
    <row r="63" spans="1:208" s="26" customFormat="1" ht="18" customHeight="1">
      <c r="A63" s="572"/>
      <c r="B63" s="57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3" s="26" customFormat="1" ht="12.75">
      <c r="A64" s="46"/>
      <c r="B64" s="45"/>
      <c r="C64" s="50"/>
    </row>
    <row r="65" spans="1:3" s="26" customFormat="1" ht="15">
      <c r="A65" s="43"/>
      <c r="B65" s="43"/>
      <c r="C65" s="50"/>
    </row>
    <row r="66" spans="1:3" s="26" customFormat="1" ht="15">
      <c r="A66" s="43"/>
      <c r="B66" s="44"/>
      <c r="C66" s="87"/>
    </row>
    <row r="67" spans="1:3" s="26" customFormat="1" ht="15">
      <c r="A67" s="48"/>
      <c r="B67" s="49"/>
      <c r="C67" s="149"/>
    </row>
    <row r="68" spans="1:3" s="26" customFormat="1" ht="15">
      <c r="A68" s="48"/>
      <c r="B68" s="49"/>
      <c r="C68" s="150"/>
    </row>
    <row r="69" spans="1:2" s="26" customFormat="1" ht="15">
      <c r="A69" s="43"/>
      <c r="B69" s="43"/>
    </row>
    <row r="70" spans="1:3" s="26" customFormat="1" ht="14.25">
      <c r="A70" s="573"/>
      <c r="B70" s="573"/>
      <c r="C70" s="87"/>
    </row>
    <row r="71" spans="1:3" s="26" customFormat="1" ht="12.75">
      <c r="A71" s="151"/>
      <c r="C71" s="152"/>
    </row>
    <row r="72" s="26" customFormat="1" ht="12.75"/>
    <row r="73" s="26" customFormat="1" ht="12.75"/>
  </sheetData>
  <sheetProtection/>
  <mergeCells count="17">
    <mergeCell ref="J27:J28"/>
    <mergeCell ref="A1:D1"/>
    <mergeCell ref="A2:D2"/>
    <mergeCell ref="A3:D3"/>
    <mergeCell ref="C5:D5"/>
    <mergeCell ref="A27:A28"/>
    <mergeCell ref="B27:B28"/>
    <mergeCell ref="C27:C28"/>
    <mergeCell ref="D27:D28"/>
    <mergeCell ref="A62:I62"/>
    <mergeCell ref="A63:B63"/>
    <mergeCell ref="A70:B70"/>
    <mergeCell ref="E27:E28"/>
    <mergeCell ref="F27:F28"/>
    <mergeCell ref="G27:G28"/>
    <mergeCell ref="H27:H28"/>
    <mergeCell ref="I27:I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headerFooter>
    <oddHeader>&amp;R&amp;F &amp;A &amp;D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6:C16"/>
  <sheetViews>
    <sheetView zoomScalePageLayoutView="0" workbookViewId="0" topLeftCell="A1">
      <selection activeCell="A26" sqref="A26"/>
    </sheetView>
  </sheetViews>
  <sheetFormatPr defaultColWidth="9.140625" defaultRowHeight="12.75"/>
  <cols>
    <col min="1" max="1" width="81.140625" style="0" bestFit="1" customWidth="1"/>
    <col min="2" max="3" width="11.00390625" style="0" customWidth="1"/>
  </cols>
  <sheetData>
    <row r="6" spans="1:3" ht="45.75" customHeight="1">
      <c r="A6" s="589" t="s">
        <v>84</v>
      </c>
      <c r="B6" s="590"/>
      <c r="C6" s="590"/>
    </row>
    <row r="7" spans="1:3" ht="24" thickBot="1">
      <c r="A7" s="199"/>
      <c r="B7" s="199"/>
      <c r="C7" s="199"/>
    </row>
    <row r="8" spans="1:3" ht="57" customHeight="1" thickBot="1">
      <c r="A8" s="201" t="s">
        <v>85</v>
      </c>
      <c r="B8" s="201" t="s">
        <v>1</v>
      </c>
      <c r="C8" s="201" t="s">
        <v>75</v>
      </c>
    </row>
    <row r="9" spans="1:3" ht="41.25" customHeight="1" thickBot="1">
      <c r="A9" s="202" t="s">
        <v>83</v>
      </c>
      <c r="B9" s="200" t="s">
        <v>9</v>
      </c>
      <c r="C9" s="208">
        <f>C10+C11</f>
        <v>46802</v>
      </c>
    </row>
    <row r="10" spans="1:3" ht="32.25" customHeight="1">
      <c r="A10" s="204" t="s">
        <v>81</v>
      </c>
      <c r="B10" s="205" t="s">
        <v>9</v>
      </c>
      <c r="C10" s="209">
        <v>34106</v>
      </c>
    </row>
    <row r="11" spans="1:3" ht="32.25" customHeight="1" thickBot="1">
      <c r="A11" s="206" t="s">
        <v>82</v>
      </c>
      <c r="B11" s="207" t="s">
        <v>9</v>
      </c>
      <c r="C11" s="210">
        <v>12696</v>
      </c>
    </row>
    <row r="12" spans="1:3" ht="41.25" customHeight="1" thickBot="1">
      <c r="A12" s="202" t="s">
        <v>86</v>
      </c>
      <c r="B12" s="200" t="s">
        <v>9</v>
      </c>
      <c r="C12" s="208">
        <f>C13+C16</f>
        <v>54065</v>
      </c>
    </row>
    <row r="13" spans="1:3" ht="34.5" customHeight="1" thickBot="1">
      <c r="A13" s="202" t="s">
        <v>87</v>
      </c>
      <c r="B13" s="200" t="s">
        <v>9</v>
      </c>
      <c r="C13" s="208">
        <f>C14+C15</f>
        <v>22323</v>
      </c>
    </row>
    <row r="14" spans="1:3" ht="32.25" customHeight="1">
      <c r="A14" s="211" t="s">
        <v>88</v>
      </c>
      <c r="B14" s="205" t="s">
        <v>9</v>
      </c>
      <c r="C14" s="209">
        <v>20123</v>
      </c>
    </row>
    <row r="15" spans="1:3" ht="32.25" customHeight="1" thickBot="1">
      <c r="A15" s="212" t="s">
        <v>89</v>
      </c>
      <c r="B15" s="207" t="s">
        <v>9</v>
      </c>
      <c r="C15" s="210">
        <v>2200</v>
      </c>
    </row>
    <row r="16" spans="1:3" ht="34.5" customHeight="1" thickBot="1">
      <c r="A16" s="203" t="s">
        <v>90</v>
      </c>
      <c r="B16" s="200" t="s">
        <v>9</v>
      </c>
      <c r="C16" s="208">
        <v>31742</v>
      </c>
    </row>
  </sheetData>
  <sheetProtection/>
  <mergeCells count="1">
    <mergeCell ref="A6:C6"/>
  </mergeCells>
  <printOptions/>
  <pageMargins left="0" right="0" top="0.7480314960629921" bottom="0.7480314960629921" header="0.31496062992125984" footer="0.31496062992125984"/>
  <pageSetup fitToHeight="1" fitToWidth="1" horizontalDpi="600" verticalDpi="600" orientation="portrait" paperSize="9" scale="99" r:id="rId1"/>
  <headerFooter>
    <oddHeader>&amp;R&amp;F &amp;A &amp;D</oddHeader>
  </headerFooter>
</worksheet>
</file>

<file path=xl/worksheets/sheet8.xml><?xml version="1.0" encoding="utf-8"?>
<worksheet xmlns="http://schemas.openxmlformats.org/spreadsheetml/2006/main" xmlns:r="http://schemas.openxmlformats.org/officeDocument/2006/relationships">
  <dimension ref="A1:GZ69"/>
  <sheetViews>
    <sheetView zoomScalePageLayoutView="0" workbookViewId="0" topLeftCell="A1">
      <selection activeCell="G47" sqref="G47"/>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hidden="1" customWidth="1"/>
    <col min="12" max="12" width="11.421875" style="0" bestFit="1" customWidth="1"/>
    <col min="13" max="13" width="12.140625" style="26" hidden="1" customWidth="1"/>
    <col min="14" max="14" width="9.8515625" style="26" hidden="1" customWidth="1"/>
    <col min="15" max="15" width="11.140625" style="26" hidden="1" customWidth="1"/>
    <col min="16" max="20" width="9.140625" style="26" customWidth="1"/>
  </cols>
  <sheetData>
    <row r="1" spans="1:10" ht="23.25" customHeight="1">
      <c r="A1" s="578" t="s">
        <v>20</v>
      </c>
      <c r="B1" s="578"/>
      <c r="C1" s="578"/>
      <c r="D1" s="578"/>
      <c r="G1" s="595" t="s">
        <v>122</v>
      </c>
      <c r="H1" s="595"/>
      <c r="I1" s="595"/>
      <c r="J1" s="595"/>
    </row>
    <row r="2" spans="1:10" ht="12.75" customHeight="1">
      <c r="A2" s="579" t="s">
        <v>118</v>
      </c>
      <c r="B2" s="579"/>
      <c r="C2" s="579"/>
      <c r="D2" s="579"/>
      <c r="G2" s="595"/>
      <c r="H2" s="595"/>
      <c r="I2" s="595"/>
      <c r="J2" s="595"/>
    </row>
    <row r="3" spans="1:10" ht="12.75" customHeight="1">
      <c r="A3" s="213"/>
      <c r="B3" s="213"/>
      <c r="C3" s="213"/>
      <c r="D3" s="213"/>
      <c r="G3" s="595"/>
      <c r="H3" s="595"/>
      <c r="I3" s="595"/>
      <c r="J3" s="595"/>
    </row>
    <row r="4" spans="1:10" ht="12.75" customHeight="1">
      <c r="A4" s="592" t="s">
        <v>119</v>
      </c>
      <c r="B4" s="592"/>
      <c r="C4" s="592"/>
      <c r="D4" s="592"/>
      <c r="G4" s="595"/>
      <c r="H4" s="595"/>
      <c r="I4" s="595"/>
      <c r="J4" s="595"/>
    </row>
    <row r="5" spans="1:10" ht="13.5" customHeight="1" thickBot="1">
      <c r="A5" s="29"/>
      <c r="B5" s="29"/>
      <c r="C5" s="29"/>
      <c r="D5" s="29"/>
      <c r="G5" s="595"/>
      <c r="H5" s="595"/>
      <c r="I5" s="595"/>
      <c r="J5" s="595"/>
    </row>
    <row r="6" spans="1:12" ht="37.5" customHeight="1" thickBot="1">
      <c r="A6" s="63" t="s">
        <v>0</v>
      </c>
      <c r="B6" s="64" t="s">
        <v>1</v>
      </c>
      <c r="C6" s="581" t="s">
        <v>75</v>
      </c>
      <c r="D6" s="582"/>
      <c r="F6" s="54"/>
      <c r="J6" s="54"/>
      <c r="K6" s="54"/>
      <c r="L6" s="54"/>
    </row>
    <row r="7" spans="1:4" ht="19.5" customHeight="1">
      <c r="A7" s="95" t="s">
        <v>2</v>
      </c>
      <c r="B7" s="96" t="s">
        <v>3</v>
      </c>
      <c r="C7" s="278">
        <f>SUM(C8:C13)</f>
        <v>60934</v>
      </c>
      <c r="D7" s="155">
        <f>SUM(D8:D13)</f>
        <v>1</v>
      </c>
    </row>
    <row r="8" spans="1:20" s="6" customFormat="1" ht="21" customHeight="1">
      <c r="A8" s="58" t="s">
        <v>4</v>
      </c>
      <c r="B8" s="59" t="s">
        <v>3</v>
      </c>
      <c r="C8" s="60">
        <v>14787</v>
      </c>
      <c r="D8" s="157">
        <f aca="true" t="shared" si="0" ref="D8:D13">C8/$C$7</f>
        <v>0.2426723996455181</v>
      </c>
      <c r="F8" s="55"/>
      <c r="J8" s="55"/>
      <c r="K8" s="55"/>
      <c r="L8" s="55"/>
      <c r="M8" s="35"/>
      <c r="N8" s="35"/>
      <c r="O8" s="35"/>
      <c r="P8" s="35"/>
      <c r="Q8" s="35"/>
      <c r="R8" s="35"/>
      <c r="S8" s="35"/>
      <c r="T8" s="35"/>
    </row>
    <row r="9" spans="1:20" s="6" customFormat="1" ht="21" customHeight="1">
      <c r="A9" s="58" t="s">
        <v>8</v>
      </c>
      <c r="B9" s="59" t="s">
        <v>3</v>
      </c>
      <c r="C9" s="60">
        <v>4492</v>
      </c>
      <c r="D9" s="157">
        <f t="shared" si="0"/>
        <v>0.07371910591787836</v>
      </c>
      <c r="E9" s="35"/>
      <c r="M9" s="35"/>
      <c r="N9" s="35"/>
      <c r="O9" s="35"/>
      <c r="P9" s="35"/>
      <c r="Q9" s="35"/>
      <c r="R9" s="35"/>
      <c r="S9" s="35"/>
      <c r="T9" s="35"/>
    </row>
    <row r="10" spans="1:20" s="6" customFormat="1" ht="21" customHeight="1">
      <c r="A10" s="58" t="s">
        <v>5</v>
      </c>
      <c r="B10" s="59" t="s">
        <v>3</v>
      </c>
      <c r="C10" s="60">
        <v>29773</v>
      </c>
      <c r="D10" s="157">
        <f t="shared" si="0"/>
        <v>0.48861062789247384</v>
      </c>
      <c r="M10" s="35"/>
      <c r="N10" s="35"/>
      <c r="O10" s="35"/>
      <c r="P10" s="35"/>
      <c r="Q10" s="35"/>
      <c r="R10" s="35"/>
      <c r="S10" s="35"/>
      <c r="T10" s="35"/>
    </row>
    <row r="11" spans="1:20" s="6" customFormat="1" ht="21" customHeight="1">
      <c r="A11" s="252" t="s">
        <v>120</v>
      </c>
      <c r="B11" s="59" t="s">
        <v>3</v>
      </c>
      <c r="C11" s="277">
        <v>5858</v>
      </c>
      <c r="D11" s="157">
        <f t="shared" si="0"/>
        <v>0.09613680375488233</v>
      </c>
      <c r="M11" s="35"/>
      <c r="N11" s="35"/>
      <c r="O11" s="35"/>
      <c r="P11" s="35"/>
      <c r="Q11" s="35"/>
      <c r="R11" s="35"/>
      <c r="S11" s="35"/>
      <c r="T11" s="35"/>
    </row>
    <row r="12" spans="1:15" ht="21" customHeight="1">
      <c r="A12" s="99" t="s">
        <v>65</v>
      </c>
      <c r="B12" s="100" t="s">
        <v>3</v>
      </c>
      <c r="C12" s="101">
        <v>5372</v>
      </c>
      <c r="D12" s="157">
        <f t="shared" si="0"/>
        <v>0.08816096103981357</v>
      </c>
      <c r="L12" s="28"/>
      <c r="O12" s="50"/>
    </row>
    <row r="13" spans="1:15" ht="21" customHeight="1" thickBot="1">
      <c r="A13" s="58" t="s">
        <v>66</v>
      </c>
      <c r="B13" s="59" t="s">
        <v>3</v>
      </c>
      <c r="C13" s="102">
        <v>652</v>
      </c>
      <c r="D13" s="158">
        <f t="shared" si="0"/>
        <v>0.010700101749433814</v>
      </c>
      <c r="I13" s="26"/>
      <c r="O13" s="50"/>
    </row>
    <row r="14" spans="1:15" ht="12" customHeight="1" hidden="1">
      <c r="A14" s="8" t="s">
        <v>7</v>
      </c>
      <c r="B14" s="4" t="s">
        <v>3</v>
      </c>
      <c r="C14" s="7">
        <v>663</v>
      </c>
      <c r="I14" s="39"/>
      <c r="N14" s="39"/>
      <c r="O14" s="279"/>
    </row>
    <row r="15" spans="1:15" ht="15.75" customHeight="1" thickBot="1">
      <c r="A15" s="65"/>
      <c r="B15" s="66"/>
      <c r="C15" s="67"/>
      <c r="F15" s="61"/>
      <c r="G15" s="61"/>
      <c r="H15" s="61"/>
      <c r="I15" s="56"/>
      <c r="O15" s="50"/>
    </row>
    <row r="16" spans="1:9" ht="100.5" customHeight="1" thickBot="1">
      <c r="A16" s="63" t="s">
        <v>0</v>
      </c>
      <c r="B16" s="64" t="s">
        <v>1</v>
      </c>
      <c r="C16" s="75" t="s">
        <v>24</v>
      </c>
      <c r="D16" s="75" t="s">
        <v>25</v>
      </c>
      <c r="E16" s="83" t="s">
        <v>41</v>
      </c>
      <c r="F16" s="75" t="s">
        <v>22</v>
      </c>
      <c r="G16" s="68" t="s">
        <v>38</v>
      </c>
      <c r="H16" s="68" t="s">
        <v>39</v>
      </c>
      <c r="I16" s="75" t="s">
        <v>23</v>
      </c>
    </row>
    <row r="17" spans="1:12" ht="16.5" customHeight="1" thickBot="1">
      <c r="A17" s="70">
        <v>1</v>
      </c>
      <c r="B17" s="69">
        <v>2</v>
      </c>
      <c r="C17" s="68">
        <v>3</v>
      </c>
      <c r="D17" s="68">
        <v>4</v>
      </c>
      <c r="E17" s="68">
        <v>5</v>
      </c>
      <c r="F17" s="68">
        <v>6</v>
      </c>
      <c r="G17" s="68">
        <v>7</v>
      </c>
      <c r="H17" s="68">
        <v>8</v>
      </c>
      <c r="I17" s="68">
        <v>9</v>
      </c>
      <c r="J17" s="597" t="s">
        <v>121</v>
      </c>
      <c r="L17" s="591" t="s">
        <v>123</v>
      </c>
    </row>
    <row r="18" spans="1:20" s="108" customFormat="1" ht="19.5" customHeight="1">
      <c r="A18" s="105" t="s">
        <v>33</v>
      </c>
      <c r="B18" s="96" t="s">
        <v>9</v>
      </c>
      <c r="C18" s="260">
        <f aca="true" t="shared" si="1" ref="C18:I18">SUM(C19:C24)</f>
        <v>231735</v>
      </c>
      <c r="D18" s="260">
        <f t="shared" si="1"/>
        <v>83478</v>
      </c>
      <c r="E18" s="260">
        <f t="shared" si="1"/>
        <v>14351</v>
      </c>
      <c r="F18" s="260">
        <f t="shared" si="1"/>
        <v>62908</v>
      </c>
      <c r="G18" s="260">
        <f t="shared" si="1"/>
        <v>51325</v>
      </c>
      <c r="H18" s="260">
        <f t="shared" si="1"/>
        <v>19673</v>
      </c>
      <c r="I18" s="106">
        <f t="shared" si="1"/>
        <v>26500</v>
      </c>
      <c r="J18" s="597"/>
      <c r="K18" s="282">
        <v>-26500</v>
      </c>
      <c r="L18" s="591"/>
      <c r="M18" s="109"/>
      <c r="N18" s="257"/>
      <c r="O18" s="110"/>
      <c r="P18" s="111"/>
      <c r="Q18" s="111"/>
      <c r="R18" s="111"/>
      <c r="S18" s="111"/>
      <c r="T18" s="111"/>
    </row>
    <row r="19" spans="1:20" s="114" customFormat="1" ht="21" customHeight="1">
      <c r="A19" s="58" t="s">
        <v>4</v>
      </c>
      <c r="B19" s="59" t="s">
        <v>9</v>
      </c>
      <c r="C19" s="112">
        <f>SUM(D19:H19)</f>
        <v>58467</v>
      </c>
      <c r="D19" s="112">
        <v>24842</v>
      </c>
      <c r="E19" s="112">
        <v>3482</v>
      </c>
      <c r="F19" s="112">
        <v>15266</v>
      </c>
      <c r="G19" s="112">
        <f>5403+1522+500</f>
        <v>7425</v>
      </c>
      <c r="H19" s="112">
        <v>7452</v>
      </c>
      <c r="I19" s="112">
        <f>11528-1000</f>
        <v>10528</v>
      </c>
      <c r="J19" s="107">
        <f>C19+I19-L19</f>
        <v>-13744</v>
      </c>
      <c r="L19" s="107">
        <f>82739</f>
        <v>82739</v>
      </c>
      <c r="M19" s="109">
        <f>L19-C19</f>
        <v>24272</v>
      </c>
      <c r="N19" s="258">
        <f>M19/M22</f>
        <v>0.43771189497222823</v>
      </c>
      <c r="O19" s="79">
        <f>K18*N19</f>
        <v>-11599.365216764048</v>
      </c>
      <c r="P19" s="113"/>
      <c r="Q19" s="115"/>
      <c r="R19" s="113"/>
      <c r="S19" s="113"/>
      <c r="T19" s="113"/>
    </row>
    <row r="20" spans="1:20" s="114" customFormat="1" ht="21" customHeight="1">
      <c r="A20" s="58" t="s">
        <v>10</v>
      </c>
      <c r="B20" s="59" t="s">
        <v>9</v>
      </c>
      <c r="C20" s="112">
        <f>SUM(D20:H20)</f>
        <v>53173</v>
      </c>
      <c r="D20" s="112">
        <v>8265</v>
      </c>
      <c r="E20" s="112">
        <v>1058</v>
      </c>
      <c r="F20" s="112">
        <v>4637</v>
      </c>
      <c r="G20" s="112">
        <f>28445+5889+1000</f>
        <v>35334</v>
      </c>
      <c r="H20" s="112">
        <v>3879</v>
      </c>
      <c r="I20" s="112">
        <v>10584</v>
      </c>
      <c r="J20" s="107">
        <f>C20+I20-L20</f>
        <v>-11839</v>
      </c>
      <c r="L20" s="107">
        <f>75596</f>
        <v>75596</v>
      </c>
      <c r="M20" s="109">
        <f>L20-C20</f>
        <v>22423</v>
      </c>
      <c r="N20" s="258">
        <f>M20/M22</f>
        <v>0.40436774147010024</v>
      </c>
      <c r="O20" s="79">
        <f>K18*N20</f>
        <v>-10715.745148957656</v>
      </c>
      <c r="P20" s="113"/>
      <c r="Q20" s="115"/>
      <c r="R20" s="113"/>
      <c r="S20" s="113"/>
      <c r="T20" s="113"/>
    </row>
    <row r="21" spans="1:20" s="114" customFormat="1" ht="21" customHeight="1">
      <c r="A21" s="58" t="s">
        <v>5</v>
      </c>
      <c r="B21" s="59" t="s">
        <v>9</v>
      </c>
      <c r="C21" s="112">
        <f>SUM(D21:H21)</f>
        <v>84729</v>
      </c>
      <c r="D21" s="112">
        <v>30071</v>
      </c>
      <c r="E21" s="112">
        <v>7012</v>
      </c>
      <c r="F21" s="112">
        <v>30738</v>
      </c>
      <c r="G21" s="112">
        <f>5448+1218+1900</f>
        <v>8566</v>
      </c>
      <c r="H21" s="112">
        <v>8342</v>
      </c>
      <c r="I21" s="112">
        <f>4388+1000</f>
        <v>5388</v>
      </c>
      <c r="J21" s="107">
        <f>C21+I21-L21</f>
        <v>-3369</v>
      </c>
      <c r="L21" s="107">
        <f>93486</f>
        <v>93486</v>
      </c>
      <c r="M21" s="109">
        <f>L21-C21</f>
        <v>8757</v>
      </c>
      <c r="N21" s="258">
        <f>M21/M22</f>
        <v>0.1579203635576715</v>
      </c>
      <c r="O21" s="79">
        <f>K18*N21</f>
        <v>-4184.889634278295</v>
      </c>
      <c r="P21" s="115"/>
      <c r="Q21" s="115"/>
      <c r="R21" s="113"/>
      <c r="S21" s="113"/>
      <c r="T21" s="113"/>
    </row>
    <row r="22" spans="1:20" s="108" customFormat="1" ht="16.5" customHeight="1">
      <c r="A22" s="252" t="s">
        <v>120</v>
      </c>
      <c r="B22" s="59" t="s">
        <v>9</v>
      </c>
      <c r="C22" s="120">
        <f>ROUND(C11*3,0)</f>
        <v>17574</v>
      </c>
      <c r="D22" s="112">
        <v>10146</v>
      </c>
      <c r="E22" s="112">
        <v>1380</v>
      </c>
      <c r="F22" s="112">
        <v>6048</v>
      </c>
      <c r="G22" s="112"/>
      <c r="H22" s="112"/>
      <c r="I22" s="112"/>
      <c r="J22" s="107"/>
      <c r="K22" s="107"/>
      <c r="L22" s="107"/>
      <c r="M22" s="109">
        <f>SUM(M19:M21)</f>
        <v>55452</v>
      </c>
      <c r="N22" s="259"/>
      <c r="O22" s="118"/>
      <c r="P22" s="109"/>
      <c r="Q22" s="111"/>
      <c r="R22" s="111"/>
      <c r="S22" s="111"/>
      <c r="T22" s="111"/>
    </row>
    <row r="23" spans="1:20" s="108" customFormat="1" ht="21" customHeight="1">
      <c r="A23" s="119" t="s">
        <v>65</v>
      </c>
      <c r="B23" s="59" t="s">
        <v>9</v>
      </c>
      <c r="C23" s="120">
        <f>ROUND(C12*3,0)</f>
        <v>16116</v>
      </c>
      <c r="D23" s="112">
        <v>9305</v>
      </c>
      <c r="E23" s="120">
        <v>1265</v>
      </c>
      <c r="F23" s="120">
        <v>5546</v>
      </c>
      <c r="G23" s="120"/>
      <c r="H23" s="120"/>
      <c r="I23" s="60"/>
      <c r="J23" s="107"/>
      <c r="K23" s="107"/>
      <c r="L23" s="163"/>
      <c r="M23" s="107"/>
      <c r="N23" s="258"/>
      <c r="O23" s="107"/>
      <c r="P23" s="111"/>
      <c r="Q23" s="111"/>
      <c r="R23" s="111"/>
      <c r="S23" s="111"/>
      <c r="T23" s="111"/>
    </row>
    <row r="24" spans="1:20" s="108" customFormat="1" ht="21" customHeight="1" thickBot="1">
      <c r="A24" s="121" t="s">
        <v>66</v>
      </c>
      <c r="B24" s="122" t="s">
        <v>9</v>
      </c>
      <c r="C24" s="123">
        <f>ROUND(C13*2.57,0)</f>
        <v>1676</v>
      </c>
      <c r="D24" s="124">
        <v>849</v>
      </c>
      <c r="E24" s="123">
        <v>154</v>
      </c>
      <c r="F24" s="123">
        <v>673</v>
      </c>
      <c r="G24" s="123"/>
      <c r="H24" s="123"/>
      <c r="I24" s="125"/>
      <c r="J24" s="107"/>
      <c r="K24" s="107"/>
      <c r="L24" s="107"/>
      <c r="M24" s="126"/>
      <c r="N24" s="126"/>
      <c r="O24" s="126"/>
      <c r="P24" s="109"/>
      <c r="Q24" s="111"/>
      <c r="R24" s="111"/>
      <c r="S24" s="111"/>
      <c r="T24" s="111"/>
    </row>
    <row r="25" spans="1:12" ht="14.25" customHeight="1" thickBot="1">
      <c r="A25" s="103"/>
      <c r="B25" s="23"/>
      <c r="C25" s="261"/>
      <c r="D25" s="168"/>
      <c r="E25" s="168"/>
      <c r="F25" s="262"/>
      <c r="G25" s="168"/>
      <c r="H25" s="168"/>
      <c r="I25" s="26"/>
      <c r="J25" s="6"/>
      <c r="K25" s="27"/>
      <c r="L25" s="6"/>
    </row>
    <row r="26" spans="1:12" ht="44.25" customHeight="1">
      <c r="A26" s="583" t="s">
        <v>0</v>
      </c>
      <c r="B26" s="585" t="s">
        <v>1</v>
      </c>
      <c r="C26" s="593" t="s">
        <v>45</v>
      </c>
      <c r="D26" s="593" t="s">
        <v>67</v>
      </c>
      <c r="E26" s="593" t="s">
        <v>26</v>
      </c>
      <c r="F26" s="593" t="s">
        <v>40</v>
      </c>
      <c r="G26" s="593" t="s">
        <v>27</v>
      </c>
      <c r="H26" s="593" t="s">
        <v>28</v>
      </c>
      <c r="I26" s="574" t="s">
        <v>37</v>
      </c>
      <c r="J26" s="576" t="s">
        <v>29</v>
      </c>
      <c r="K26" s="6"/>
      <c r="L26" s="6"/>
    </row>
    <row r="27" spans="1:12" ht="87.75" customHeight="1" thickBot="1">
      <c r="A27" s="584"/>
      <c r="B27" s="586"/>
      <c r="C27" s="594"/>
      <c r="D27" s="594"/>
      <c r="E27" s="594"/>
      <c r="F27" s="594"/>
      <c r="G27" s="594"/>
      <c r="H27" s="594"/>
      <c r="I27" s="575"/>
      <c r="J27" s="577"/>
      <c r="K27" s="6"/>
      <c r="L27" s="6"/>
    </row>
    <row r="28" spans="1:10" ht="16.5" customHeight="1" thickBot="1">
      <c r="A28" s="74">
        <v>1</v>
      </c>
      <c r="B28" s="64">
        <v>2</v>
      </c>
      <c r="C28" s="263">
        <v>3</v>
      </c>
      <c r="D28" s="263">
        <v>4</v>
      </c>
      <c r="E28" s="263">
        <v>5</v>
      </c>
      <c r="F28" s="263">
        <v>6</v>
      </c>
      <c r="G28" s="263">
        <v>7</v>
      </c>
      <c r="H28" s="263">
        <v>8</v>
      </c>
      <c r="I28" s="75">
        <v>9</v>
      </c>
      <c r="J28" s="75">
        <v>9</v>
      </c>
    </row>
    <row r="29" spans="1:12" ht="16.5" customHeight="1">
      <c r="A29" s="11" t="s">
        <v>34</v>
      </c>
      <c r="B29" s="76"/>
      <c r="C29" s="264"/>
      <c r="D29" s="264"/>
      <c r="E29" s="264"/>
      <c r="F29" s="264"/>
      <c r="G29" s="264"/>
      <c r="H29" s="264"/>
      <c r="I29" s="77"/>
      <c r="J29" s="77"/>
      <c r="L29" s="164"/>
    </row>
    <row r="30" spans="1:20" s="6" customFormat="1" ht="12" customHeight="1">
      <c r="A30" s="30" t="s">
        <v>35</v>
      </c>
      <c r="B30" s="31" t="s">
        <v>11</v>
      </c>
      <c r="C30" s="253">
        <f>D30+J30</f>
        <v>4.661976736322446</v>
      </c>
      <c r="D30" s="81">
        <f>E30+F30+G30+H30+I30</f>
        <v>3.95</v>
      </c>
      <c r="E30" s="276">
        <f aca="true" t="shared" si="2" ref="E30:E35">ROUND(D19/C8,2)</f>
        <v>1.68</v>
      </c>
      <c r="F30" s="81">
        <f aca="true" t="shared" si="3" ref="F30:F35">ROUND(E19/C8,2)</f>
        <v>0.24</v>
      </c>
      <c r="G30" s="81">
        <f aca="true" t="shared" si="4" ref="G30:G35">ROUND(F19/C8,2)</f>
        <v>1.03</v>
      </c>
      <c r="H30" s="81">
        <f>ROUND(G19/C8,2)</f>
        <v>0.5</v>
      </c>
      <c r="I30" s="81">
        <f>ROUND(H19/C8,2)</f>
        <v>0.5</v>
      </c>
      <c r="J30" s="81">
        <f>I19/C8</f>
        <v>0.7119767363224454</v>
      </c>
      <c r="K30" s="86"/>
      <c r="L30" s="86"/>
      <c r="M30" s="89"/>
      <c r="N30" s="90"/>
      <c r="O30" s="35"/>
      <c r="P30" s="35"/>
      <c r="Q30" s="88"/>
      <c r="R30" s="35"/>
      <c r="S30" s="35"/>
      <c r="T30" s="35"/>
    </row>
    <row r="31" spans="1:20" s="6" customFormat="1" ht="12" customHeight="1">
      <c r="A31" s="13" t="s">
        <v>36</v>
      </c>
      <c r="B31" s="4" t="s">
        <v>11</v>
      </c>
      <c r="C31" s="253">
        <f>D31+J31</f>
        <v>14.19618878005343</v>
      </c>
      <c r="D31" s="81">
        <f>E31+F31+G31+H31+I31</f>
        <v>11.84</v>
      </c>
      <c r="E31" s="276">
        <f t="shared" si="2"/>
        <v>1.84</v>
      </c>
      <c r="F31" s="81">
        <f t="shared" si="3"/>
        <v>0.24</v>
      </c>
      <c r="G31" s="81">
        <f t="shared" si="4"/>
        <v>1.03</v>
      </c>
      <c r="H31" s="81">
        <f>ROUND(G20/C9,2)</f>
        <v>7.87</v>
      </c>
      <c r="I31" s="81">
        <f>ROUND(H20/C9,2)</f>
        <v>0.86</v>
      </c>
      <c r="J31" s="81">
        <f>I20/C9</f>
        <v>2.3561887800534285</v>
      </c>
      <c r="K31" s="86"/>
      <c r="L31" s="27"/>
      <c r="M31" s="89"/>
      <c r="N31" s="35"/>
      <c r="O31" s="35"/>
      <c r="P31" s="35"/>
      <c r="Q31" s="90"/>
      <c r="R31" s="35"/>
      <c r="S31" s="35"/>
      <c r="T31" s="35"/>
    </row>
    <row r="32" spans="1:20" s="6" customFormat="1" ht="12" customHeight="1">
      <c r="A32" s="13" t="str">
        <f>A21</f>
        <v>"Столичен автотранспорт" ЕАД</v>
      </c>
      <c r="B32" s="4" t="s">
        <v>11</v>
      </c>
      <c r="C32" s="253">
        <f>D32+J32</f>
        <v>3.03096933463205</v>
      </c>
      <c r="D32" s="81">
        <f>E32+F32+G32+H32+I32</f>
        <v>2.8500000000000005</v>
      </c>
      <c r="E32" s="276">
        <f t="shared" si="2"/>
        <v>1.01</v>
      </c>
      <c r="F32" s="81">
        <f t="shared" si="3"/>
        <v>0.24</v>
      </c>
      <c r="G32" s="81">
        <f t="shared" si="4"/>
        <v>1.03</v>
      </c>
      <c r="H32" s="81">
        <f>ROUND(G21/C10,2)</f>
        <v>0.29</v>
      </c>
      <c r="I32" s="81">
        <f>ROUND(H21/C10,2)</f>
        <v>0.28</v>
      </c>
      <c r="J32" s="81">
        <f>I21/C10</f>
        <v>0.18096933463204917</v>
      </c>
      <c r="K32" s="86"/>
      <c r="L32" s="27"/>
      <c r="M32" s="89"/>
      <c r="N32" s="35"/>
      <c r="O32" s="35"/>
      <c r="P32" s="35"/>
      <c r="Q32" s="90"/>
      <c r="R32" s="35"/>
      <c r="S32" s="35"/>
      <c r="T32" s="35"/>
    </row>
    <row r="33" spans="1:20" s="6" customFormat="1" ht="12" customHeight="1">
      <c r="A33" s="13" t="str">
        <f>A22</f>
        <v>"MTK Гроуп" ООД</v>
      </c>
      <c r="B33" s="4" t="s">
        <v>11</v>
      </c>
      <c r="C33" s="33">
        <v>3</v>
      </c>
      <c r="D33" s="81">
        <v>3</v>
      </c>
      <c r="E33" s="81">
        <f t="shared" si="2"/>
        <v>1.73</v>
      </c>
      <c r="F33" s="81">
        <f t="shared" si="3"/>
        <v>0.24</v>
      </c>
      <c r="G33" s="81">
        <f t="shared" si="4"/>
        <v>1.03</v>
      </c>
      <c r="H33" s="265"/>
      <c r="I33" s="14"/>
      <c r="J33" s="14"/>
      <c r="M33" s="89"/>
      <c r="N33" s="35"/>
      <c r="O33" s="35"/>
      <c r="P33" s="35"/>
      <c r="Q33" s="35"/>
      <c r="R33" s="35"/>
      <c r="S33" s="35"/>
      <c r="T33" s="35"/>
    </row>
    <row r="34" spans="1:13" ht="12" customHeight="1">
      <c r="A34" s="30" t="s">
        <v>65</v>
      </c>
      <c r="B34" s="31" t="s">
        <v>11</v>
      </c>
      <c r="C34" s="266" t="s">
        <v>95</v>
      </c>
      <c r="D34" s="266" t="s">
        <v>95</v>
      </c>
      <c r="E34" s="81">
        <f t="shared" si="2"/>
        <v>1.73</v>
      </c>
      <c r="F34" s="81">
        <f t="shared" si="3"/>
        <v>0.24</v>
      </c>
      <c r="G34" s="81">
        <f t="shared" si="4"/>
        <v>1.03</v>
      </c>
      <c r="H34" s="267"/>
      <c r="I34" s="32"/>
      <c r="J34" s="32"/>
      <c r="M34" s="89"/>
    </row>
    <row r="35" spans="1:13" ht="12" customHeight="1" thickBot="1">
      <c r="A35" s="127" t="s">
        <v>6</v>
      </c>
      <c r="B35" s="10" t="s">
        <v>11</v>
      </c>
      <c r="C35" s="268">
        <v>2.57</v>
      </c>
      <c r="D35" s="82">
        <v>2.57</v>
      </c>
      <c r="E35" s="82">
        <f t="shared" si="2"/>
        <v>1.3</v>
      </c>
      <c r="F35" s="82">
        <f t="shared" si="3"/>
        <v>0.24</v>
      </c>
      <c r="G35" s="82">
        <f t="shared" si="4"/>
        <v>1.03</v>
      </c>
      <c r="H35" s="269"/>
      <c r="I35" s="34"/>
      <c r="J35" s="34"/>
      <c r="M35" s="89"/>
    </row>
    <row r="36" spans="1:8" ht="14.25" customHeight="1" thickBot="1">
      <c r="A36" s="15"/>
      <c r="B36" s="16"/>
      <c r="C36" s="270"/>
      <c r="D36" s="168"/>
      <c r="E36" s="168"/>
      <c r="F36" s="168"/>
      <c r="G36" s="168"/>
      <c r="H36" s="168"/>
    </row>
    <row r="37" spans="1:8" ht="19.5" customHeight="1">
      <c r="A37" s="17" t="s">
        <v>12</v>
      </c>
      <c r="B37" s="18" t="s">
        <v>9</v>
      </c>
      <c r="C37" s="271">
        <f>C38+C40+C43+C45</f>
        <v>231735</v>
      </c>
      <c r="D37" s="272"/>
      <c r="E37" s="168" t="s">
        <v>17</v>
      </c>
      <c r="F37" s="273"/>
      <c r="G37" s="168"/>
      <c r="H37" s="168"/>
    </row>
    <row r="38" spans="1:9" ht="16.5" customHeight="1">
      <c r="A38" s="58" t="s">
        <v>18</v>
      </c>
      <c r="B38" s="59" t="s">
        <v>9</v>
      </c>
      <c r="C38" s="120">
        <f>C39</f>
        <v>83478</v>
      </c>
      <c r="D38" s="274"/>
      <c r="E38" s="168"/>
      <c r="F38" s="168"/>
      <c r="G38" s="168"/>
      <c r="H38" s="168"/>
      <c r="I38" s="57"/>
    </row>
    <row r="39" spans="1:9" ht="12.75" customHeight="1">
      <c r="A39" s="8" t="s">
        <v>19</v>
      </c>
      <c r="B39" s="4" t="s">
        <v>9</v>
      </c>
      <c r="C39" s="275">
        <v>83478</v>
      </c>
      <c r="D39" s="183"/>
      <c r="E39" s="168"/>
      <c r="F39" s="168"/>
      <c r="G39" s="168"/>
      <c r="H39" s="168"/>
      <c r="I39" s="57"/>
    </row>
    <row r="40" spans="1:9" ht="12.75" customHeight="1">
      <c r="A40" s="3" t="s">
        <v>13</v>
      </c>
      <c r="B40" s="4" t="s">
        <v>9</v>
      </c>
      <c r="C40" s="280">
        <f>C41</f>
        <v>62908</v>
      </c>
      <c r="D40" s="261"/>
      <c r="E40" s="168"/>
      <c r="F40" s="168"/>
      <c r="G40" s="168"/>
      <c r="H40" s="168"/>
      <c r="I40" s="57"/>
    </row>
    <row r="41" spans="1:9" ht="12" customHeight="1">
      <c r="A41" s="9" t="s">
        <v>31</v>
      </c>
      <c r="B41" s="4" t="s">
        <v>9</v>
      </c>
      <c r="C41" s="281">
        <v>62908</v>
      </c>
      <c r="D41" s="80"/>
      <c r="I41" s="57"/>
    </row>
    <row r="42" spans="1:9" ht="12" customHeight="1" hidden="1">
      <c r="A42" s="9" t="s">
        <v>14</v>
      </c>
      <c r="B42" s="4" t="s">
        <v>9</v>
      </c>
      <c r="C42" s="19"/>
      <c r="D42" s="80"/>
      <c r="I42" s="57"/>
    </row>
    <row r="43" spans="1:9" ht="13.5" customHeight="1">
      <c r="A43" s="3" t="s">
        <v>15</v>
      </c>
      <c r="B43" s="4" t="s">
        <v>9</v>
      </c>
      <c r="C43" s="5">
        <f>C44</f>
        <v>14351</v>
      </c>
      <c r="D43" s="25"/>
      <c r="I43" s="57"/>
    </row>
    <row r="44" spans="1:9" ht="12" customHeight="1">
      <c r="A44" s="8" t="s">
        <v>42</v>
      </c>
      <c r="B44" s="4" t="s">
        <v>9</v>
      </c>
      <c r="C44" s="12">
        <v>14351</v>
      </c>
      <c r="D44" s="24"/>
      <c r="F44" s="254"/>
      <c r="I44" s="57"/>
    </row>
    <row r="45" spans="1:9" ht="15" customHeight="1">
      <c r="A45" s="3" t="s">
        <v>16</v>
      </c>
      <c r="B45" s="4" t="s">
        <v>9</v>
      </c>
      <c r="C45" s="5">
        <f>C46+C47+C48</f>
        <v>70998</v>
      </c>
      <c r="D45" s="25"/>
      <c r="H45" s="254"/>
      <c r="I45" s="57"/>
    </row>
    <row r="46" spans="1:20" s="6" customFormat="1" ht="12" customHeight="1">
      <c r="A46" s="20" t="s">
        <v>4</v>
      </c>
      <c r="B46" s="4" t="s">
        <v>9</v>
      </c>
      <c r="C46" s="12">
        <f>+G19+H19</f>
        <v>14877</v>
      </c>
      <c r="D46" s="24"/>
      <c r="F46" s="37"/>
      <c r="M46" s="35"/>
      <c r="N46" s="35"/>
      <c r="O46" s="35"/>
      <c r="P46" s="35"/>
      <c r="Q46" s="35"/>
      <c r="R46" s="35"/>
      <c r="S46" s="35"/>
      <c r="T46" s="35"/>
    </row>
    <row r="47" spans="1:20" s="6" customFormat="1" ht="12" customHeight="1">
      <c r="A47" s="20" t="s">
        <v>5</v>
      </c>
      <c r="B47" s="4" t="s">
        <v>9</v>
      </c>
      <c r="C47" s="12">
        <f>+G21+H21</f>
        <v>16908</v>
      </c>
      <c r="D47" s="24"/>
      <c r="F47" s="255"/>
      <c r="M47" s="35"/>
      <c r="N47" s="35"/>
      <c r="O47" s="35"/>
      <c r="P47" s="35"/>
      <c r="Q47" s="35"/>
      <c r="R47" s="35"/>
      <c r="S47" s="35"/>
      <c r="T47" s="35"/>
    </row>
    <row r="48" spans="1:20" s="6" customFormat="1" ht="12" customHeight="1" thickBot="1">
      <c r="A48" s="21" t="s">
        <v>10</v>
      </c>
      <c r="B48" s="10" t="s">
        <v>9</v>
      </c>
      <c r="C48" s="40">
        <f>+G20+H20</f>
        <v>39213</v>
      </c>
      <c r="D48" s="24"/>
      <c r="G48" s="38"/>
      <c r="H48" s="256"/>
      <c r="M48" s="35"/>
      <c r="N48" s="35"/>
      <c r="O48" s="35"/>
      <c r="P48" s="35"/>
      <c r="Q48" s="35"/>
      <c r="R48" s="35"/>
      <c r="S48" s="35"/>
      <c r="T48" s="35"/>
    </row>
    <row r="49" spans="1:4" s="26" customFormat="1" ht="11.25" customHeight="1">
      <c r="A49" s="22"/>
      <c r="B49" s="23"/>
      <c r="C49" s="24"/>
      <c r="D49" s="24"/>
    </row>
    <row r="50" spans="1:8" s="26" customFormat="1" ht="11.25" customHeight="1" thickBot="1">
      <c r="A50" s="22"/>
      <c r="B50" s="23"/>
      <c r="C50" s="24"/>
      <c r="D50" s="24"/>
      <c r="H50" s="50"/>
    </row>
    <row r="51" spans="1:20" s="168" customFormat="1" ht="21.75" customHeight="1" thickBot="1">
      <c r="A51" s="196" t="s">
        <v>80</v>
      </c>
      <c r="B51" s="198" t="s">
        <v>9</v>
      </c>
      <c r="C51" s="197">
        <f>C18-C37</f>
        <v>0</v>
      </c>
      <c r="K51" s="169"/>
      <c r="M51" s="170"/>
      <c r="N51" s="170"/>
      <c r="O51" s="170"/>
      <c r="P51" s="170"/>
      <c r="Q51" s="170"/>
      <c r="R51" s="170"/>
      <c r="S51" s="170"/>
      <c r="T51" s="170"/>
    </row>
    <row r="52" spans="1:4" s="170" customFormat="1" ht="11.25" customHeight="1">
      <c r="A52" s="181"/>
      <c r="B52" s="182"/>
      <c r="C52" s="183"/>
      <c r="D52" s="183"/>
    </row>
    <row r="53" spans="1:4" s="170" customFormat="1" ht="11.25" customHeight="1">
      <c r="A53" s="181"/>
      <c r="B53" s="182"/>
      <c r="C53" s="183"/>
      <c r="D53" s="183"/>
    </row>
    <row r="54" spans="1:208" s="170" customFormat="1" ht="15" customHeight="1" thickBot="1">
      <c r="A54" s="43"/>
      <c r="B54" s="43"/>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row>
    <row r="55" spans="1:20" s="168" customFormat="1" ht="38.25" customHeight="1" thickBot="1">
      <c r="A55" s="184" t="s">
        <v>54</v>
      </c>
      <c r="B55" s="185" t="s">
        <v>9</v>
      </c>
      <c r="C55" s="186">
        <f>C56+C57</f>
        <v>26500</v>
      </c>
      <c r="E55" s="187" t="s">
        <v>50</v>
      </c>
      <c r="G55" s="188"/>
      <c r="H55" s="188"/>
      <c r="M55" s="170"/>
      <c r="N55" s="170"/>
      <c r="O55" s="170"/>
      <c r="P55" s="170"/>
      <c r="Q55" s="170"/>
      <c r="R55" s="170"/>
      <c r="S55" s="170"/>
      <c r="T55" s="170"/>
    </row>
    <row r="56" spans="1:208" s="170" customFormat="1" ht="14.25" customHeight="1">
      <c r="A56" s="189" t="s">
        <v>68</v>
      </c>
      <c r="B56" s="190" t="s">
        <v>9</v>
      </c>
      <c r="C56" s="191">
        <v>8500</v>
      </c>
      <c r="D56" s="44"/>
      <c r="E56" s="44"/>
      <c r="F56" s="44" t="s">
        <v>51</v>
      </c>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row>
    <row r="57" spans="1:208" s="170" customFormat="1" ht="14.25" customHeight="1" thickBot="1">
      <c r="A57" s="192" t="s">
        <v>30</v>
      </c>
      <c r="B57" s="193" t="s">
        <v>9</v>
      </c>
      <c r="C57" s="194">
        <v>18000</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row>
    <row r="58" spans="1:208" s="170" customFormat="1" ht="14.25" customHeight="1">
      <c r="A58" s="43"/>
      <c r="B58" s="43"/>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row>
    <row r="59" spans="1:208" s="26" customFormat="1" ht="16.5" customHeight="1">
      <c r="A59" s="43"/>
      <c r="B59" s="43"/>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row>
    <row r="60" spans="1:208" s="26" customFormat="1" ht="66.75" customHeight="1">
      <c r="A60" s="596"/>
      <c r="B60" s="596"/>
      <c r="C60" s="596"/>
      <c r="D60" s="596"/>
      <c r="E60" s="596"/>
      <c r="F60" s="596"/>
      <c r="G60" s="596"/>
      <c r="H60" s="596"/>
      <c r="I60" s="596"/>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row>
    <row r="61" spans="1:208" s="26" customFormat="1" ht="18" customHeight="1">
      <c r="A61" s="572"/>
      <c r="B61" s="57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3" s="26" customFormat="1" ht="12.75">
      <c r="A62" s="46"/>
      <c r="B62" s="45"/>
      <c r="C62" s="50"/>
    </row>
    <row r="63" spans="1:3" s="26" customFormat="1" ht="15">
      <c r="A63" s="43"/>
      <c r="B63" s="43"/>
      <c r="C63" s="50"/>
    </row>
    <row r="64" spans="1:3" s="26" customFormat="1" ht="15">
      <c r="A64" s="43"/>
      <c r="B64" s="44"/>
      <c r="C64" s="87"/>
    </row>
    <row r="65" spans="1:3" s="26" customFormat="1" ht="15">
      <c r="A65" s="48"/>
      <c r="B65" s="49"/>
      <c r="C65" s="149"/>
    </row>
    <row r="66" spans="1:3" s="26" customFormat="1" ht="15">
      <c r="A66" s="48"/>
      <c r="B66" s="49"/>
      <c r="C66" s="150"/>
    </row>
    <row r="67" spans="1:2" s="26" customFormat="1" ht="15">
      <c r="A67" s="43"/>
      <c r="B67" s="43"/>
    </row>
    <row r="68" spans="1:3" s="26" customFormat="1" ht="14.25">
      <c r="A68" s="573"/>
      <c r="B68" s="573"/>
      <c r="C68" s="87"/>
    </row>
    <row r="69" spans="1:3" s="26" customFormat="1" ht="12.75">
      <c r="A69" s="151"/>
      <c r="C69" s="152"/>
    </row>
    <row r="70" s="26" customFormat="1" ht="12.75"/>
    <row r="71" s="26" customFormat="1" ht="12.75"/>
  </sheetData>
  <sheetProtection/>
  <mergeCells count="20">
    <mergeCell ref="G1:J5"/>
    <mergeCell ref="A60:I60"/>
    <mergeCell ref="A61:B61"/>
    <mergeCell ref="A68:B68"/>
    <mergeCell ref="E26:E27"/>
    <mergeCell ref="F26:F27"/>
    <mergeCell ref="G26:G27"/>
    <mergeCell ref="H26:H27"/>
    <mergeCell ref="I26:I27"/>
    <mergeCell ref="J17:J18"/>
    <mergeCell ref="L17:L18"/>
    <mergeCell ref="J26:J27"/>
    <mergeCell ref="A1:D1"/>
    <mergeCell ref="A2:D2"/>
    <mergeCell ref="A4:D4"/>
    <mergeCell ref="C6:D6"/>
    <mergeCell ref="A26:A27"/>
    <mergeCell ref="B26:B27"/>
    <mergeCell ref="C26:C27"/>
    <mergeCell ref="D26:D27"/>
  </mergeCells>
  <printOptions/>
  <pageMargins left="0" right="0" top="0.7480314960629921" bottom="0.7480314960629921" header="0.31496062992125984" footer="0.31496062992125984"/>
  <pageSetup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GZ76"/>
  <sheetViews>
    <sheetView zoomScalePageLayoutView="0" workbookViewId="0" topLeftCell="A34">
      <selection activeCell="C66" sqref="C66"/>
    </sheetView>
  </sheetViews>
  <sheetFormatPr defaultColWidth="9.140625" defaultRowHeight="12.75"/>
  <cols>
    <col min="1" max="1" width="62.00390625" style="0" customWidth="1"/>
    <col min="2" max="2" width="7.140625" style="0" customWidth="1"/>
    <col min="3" max="4" width="15.28125" style="0" customWidth="1"/>
    <col min="5" max="7" width="13.28125" style="0" customWidth="1"/>
    <col min="8" max="8" width="14.00390625" style="0" customWidth="1"/>
    <col min="9" max="9" width="13.28125" style="0" customWidth="1"/>
    <col min="10" max="10" width="13.8515625" style="0" customWidth="1"/>
    <col min="11" max="11" width="14.57421875" style="0" hidden="1" customWidth="1"/>
    <col min="12" max="12" width="11.421875" style="0" bestFit="1" customWidth="1"/>
    <col min="13" max="13" width="12.140625" style="26" hidden="1" customWidth="1"/>
    <col min="14" max="14" width="9.8515625" style="26" hidden="1" customWidth="1"/>
    <col min="15" max="15" width="11.140625" style="26" hidden="1" customWidth="1"/>
    <col min="16" max="20" width="9.140625" style="26" customWidth="1"/>
  </cols>
  <sheetData>
    <row r="1" spans="1:10" ht="23.25" customHeight="1">
      <c r="A1" s="578" t="s">
        <v>20</v>
      </c>
      <c r="B1" s="578"/>
      <c r="C1" s="578"/>
      <c r="D1" s="578"/>
      <c r="G1" s="595" t="s">
        <v>129</v>
      </c>
      <c r="H1" s="595"/>
      <c r="I1" s="595"/>
      <c r="J1" s="595"/>
    </row>
    <row r="2" spans="1:10" ht="12.75" customHeight="1">
      <c r="A2" s="579" t="s">
        <v>118</v>
      </c>
      <c r="B2" s="579"/>
      <c r="C2" s="579"/>
      <c r="D2" s="579"/>
      <c r="G2" s="595"/>
      <c r="H2" s="595"/>
      <c r="I2" s="595"/>
      <c r="J2" s="595"/>
    </row>
    <row r="3" spans="1:10" ht="12.75" customHeight="1">
      <c r="A3" s="213"/>
      <c r="B3" s="213"/>
      <c r="C3" s="213"/>
      <c r="D3" s="213"/>
      <c r="G3" s="595"/>
      <c r="H3" s="595"/>
      <c r="I3" s="595"/>
      <c r="J3" s="595"/>
    </row>
    <row r="4" spans="1:10" ht="12.75" customHeight="1">
      <c r="A4" s="592" t="s">
        <v>119</v>
      </c>
      <c r="B4" s="592"/>
      <c r="C4" s="592"/>
      <c r="D4" s="592"/>
      <c r="G4" s="595"/>
      <c r="H4" s="595"/>
      <c r="I4" s="595"/>
      <c r="J4" s="595"/>
    </row>
    <row r="5" spans="1:10" ht="13.5" customHeight="1" thickBot="1">
      <c r="A5" s="29"/>
      <c r="B5" s="29"/>
      <c r="C5" s="29"/>
      <c r="D5" s="29"/>
      <c r="G5" s="595"/>
      <c r="H5" s="595"/>
      <c r="I5" s="595"/>
      <c r="J5" s="595"/>
    </row>
    <row r="6" spans="1:12" ht="37.5" customHeight="1" thickBot="1">
      <c r="A6" s="63" t="s">
        <v>0</v>
      </c>
      <c r="B6" s="64" t="s">
        <v>1</v>
      </c>
      <c r="C6" s="581" t="s">
        <v>75</v>
      </c>
      <c r="D6" s="582"/>
      <c r="F6" s="54"/>
      <c r="J6" s="54"/>
      <c r="K6" s="54"/>
      <c r="L6" s="54"/>
    </row>
    <row r="7" spans="1:4" ht="19.5" customHeight="1">
      <c r="A7" s="95" t="s">
        <v>2</v>
      </c>
      <c r="B7" s="96" t="s">
        <v>3</v>
      </c>
      <c r="C7" s="278">
        <f>SUM(C8:C13)</f>
        <v>60934</v>
      </c>
      <c r="D7" s="155">
        <f>SUM(D8:D13)</f>
        <v>1</v>
      </c>
    </row>
    <row r="8" spans="1:20" s="6" customFormat="1" ht="21" customHeight="1">
      <c r="A8" s="58" t="s">
        <v>4</v>
      </c>
      <c r="B8" s="59" t="s">
        <v>3</v>
      </c>
      <c r="C8" s="60">
        <v>14787</v>
      </c>
      <c r="D8" s="157">
        <f aca="true" t="shared" si="0" ref="D8:D13">C8/$C$7</f>
        <v>0.2426723996455181</v>
      </c>
      <c r="F8" s="55"/>
      <c r="J8" s="55"/>
      <c r="K8" s="55"/>
      <c r="L8" s="55"/>
      <c r="M8" s="35"/>
      <c r="N8" s="35"/>
      <c r="O8" s="35"/>
      <c r="P8" s="35"/>
      <c r="Q8" s="35"/>
      <c r="R8" s="35"/>
      <c r="S8" s="35"/>
      <c r="T8" s="35"/>
    </row>
    <row r="9" spans="1:20" s="6" customFormat="1" ht="21" customHeight="1">
      <c r="A9" s="58" t="s">
        <v>8</v>
      </c>
      <c r="B9" s="59" t="s">
        <v>3</v>
      </c>
      <c r="C9" s="60">
        <v>4492</v>
      </c>
      <c r="D9" s="157">
        <f t="shared" si="0"/>
        <v>0.07371910591787836</v>
      </c>
      <c r="E9" s="35"/>
      <c r="M9" s="35"/>
      <c r="N9" s="35"/>
      <c r="O9" s="35"/>
      <c r="P9" s="35"/>
      <c r="Q9" s="35"/>
      <c r="R9" s="35"/>
      <c r="S9" s="35"/>
      <c r="T9" s="35"/>
    </row>
    <row r="10" spans="1:20" s="6" customFormat="1" ht="21" customHeight="1">
      <c r="A10" s="58" t="s">
        <v>5</v>
      </c>
      <c r="B10" s="59" t="s">
        <v>3</v>
      </c>
      <c r="C10" s="60">
        <v>29773</v>
      </c>
      <c r="D10" s="157">
        <f t="shared" si="0"/>
        <v>0.48861062789247384</v>
      </c>
      <c r="M10" s="35"/>
      <c r="N10" s="35"/>
      <c r="O10" s="35"/>
      <c r="P10" s="35"/>
      <c r="Q10" s="35"/>
      <c r="R10" s="35"/>
      <c r="S10" s="35"/>
      <c r="T10" s="35"/>
    </row>
    <row r="11" spans="1:20" s="6" customFormat="1" ht="21" customHeight="1">
      <c r="A11" s="252" t="s">
        <v>120</v>
      </c>
      <c r="B11" s="59" t="s">
        <v>3</v>
      </c>
      <c r="C11" s="277">
        <v>5858</v>
      </c>
      <c r="D11" s="157">
        <f t="shared" si="0"/>
        <v>0.09613680375488233</v>
      </c>
      <c r="M11" s="35"/>
      <c r="N11" s="35"/>
      <c r="O11" s="35"/>
      <c r="P11" s="35"/>
      <c r="Q11" s="35"/>
      <c r="R11" s="35"/>
      <c r="S11" s="35"/>
      <c r="T11" s="35"/>
    </row>
    <row r="12" spans="1:15" ht="21" customHeight="1">
      <c r="A12" s="99" t="s">
        <v>65</v>
      </c>
      <c r="B12" s="100" t="s">
        <v>3</v>
      </c>
      <c r="C12" s="101">
        <v>5372</v>
      </c>
      <c r="D12" s="157">
        <f t="shared" si="0"/>
        <v>0.08816096103981357</v>
      </c>
      <c r="L12" s="28"/>
      <c r="O12" s="50"/>
    </row>
    <row r="13" spans="1:15" ht="21" customHeight="1" thickBot="1">
      <c r="A13" s="58" t="s">
        <v>66</v>
      </c>
      <c r="B13" s="59" t="s">
        <v>3</v>
      </c>
      <c r="C13" s="102">
        <v>652</v>
      </c>
      <c r="D13" s="158">
        <f t="shared" si="0"/>
        <v>0.010700101749433814</v>
      </c>
      <c r="I13" s="26"/>
      <c r="O13" s="50"/>
    </row>
    <row r="14" spans="1:15" ht="12" customHeight="1" hidden="1">
      <c r="A14" s="8" t="s">
        <v>7</v>
      </c>
      <c r="B14" s="4" t="s">
        <v>3</v>
      </c>
      <c r="C14" s="7">
        <v>663</v>
      </c>
      <c r="I14" s="39"/>
      <c r="N14" s="39"/>
      <c r="O14" s="279"/>
    </row>
    <row r="15" spans="1:15" ht="15.75" customHeight="1" thickBot="1">
      <c r="A15" s="65"/>
      <c r="B15" s="66"/>
      <c r="C15" s="67"/>
      <c r="F15" s="61"/>
      <c r="G15" s="61"/>
      <c r="H15" s="61"/>
      <c r="I15" s="56"/>
      <c r="O15" s="50"/>
    </row>
    <row r="16" spans="1:9" ht="100.5" customHeight="1" thickBot="1">
      <c r="A16" s="63" t="s">
        <v>0</v>
      </c>
      <c r="B16" s="64" t="s">
        <v>1</v>
      </c>
      <c r="C16" s="75" t="s">
        <v>24</v>
      </c>
      <c r="D16" s="75" t="s">
        <v>25</v>
      </c>
      <c r="E16" s="83" t="s">
        <v>41</v>
      </c>
      <c r="F16" s="75" t="s">
        <v>22</v>
      </c>
      <c r="G16" s="68" t="s">
        <v>38</v>
      </c>
      <c r="H16" s="68" t="s">
        <v>39</v>
      </c>
      <c r="I16" s="75" t="s">
        <v>23</v>
      </c>
    </row>
    <row r="17" spans="1:12" ht="16.5" customHeight="1" thickBot="1">
      <c r="A17" s="70">
        <v>1</v>
      </c>
      <c r="B17" s="69">
        <v>2</v>
      </c>
      <c r="C17" s="68">
        <v>3</v>
      </c>
      <c r="D17" s="68">
        <v>4</v>
      </c>
      <c r="E17" s="68">
        <v>5</v>
      </c>
      <c r="F17" s="68">
        <v>6</v>
      </c>
      <c r="G17" s="68">
        <v>7</v>
      </c>
      <c r="H17" s="68">
        <v>8</v>
      </c>
      <c r="I17" s="68">
        <v>9</v>
      </c>
      <c r="J17" s="597" t="s">
        <v>121</v>
      </c>
      <c r="L17" s="591" t="s">
        <v>123</v>
      </c>
    </row>
    <row r="18" spans="1:20" s="108" customFormat="1" ht="19.5" customHeight="1">
      <c r="A18" s="105" t="s">
        <v>33</v>
      </c>
      <c r="B18" s="96" t="s">
        <v>9</v>
      </c>
      <c r="C18" s="260">
        <f aca="true" t="shared" si="1" ref="C18:I18">SUM(C19:C24)</f>
        <v>231735</v>
      </c>
      <c r="D18" s="260">
        <f t="shared" si="1"/>
        <v>83478</v>
      </c>
      <c r="E18" s="260">
        <f t="shared" si="1"/>
        <v>14351</v>
      </c>
      <c r="F18" s="260">
        <f t="shared" si="1"/>
        <v>62908</v>
      </c>
      <c r="G18" s="260">
        <f t="shared" si="1"/>
        <v>51325</v>
      </c>
      <c r="H18" s="260">
        <f t="shared" si="1"/>
        <v>19673</v>
      </c>
      <c r="I18" s="106">
        <f t="shared" si="1"/>
        <v>26500</v>
      </c>
      <c r="J18" s="597"/>
      <c r="K18" s="282">
        <v>-26500</v>
      </c>
      <c r="L18" s="591"/>
      <c r="M18" s="109"/>
      <c r="N18" s="257"/>
      <c r="O18" s="110"/>
      <c r="P18" s="111"/>
      <c r="Q18" s="111"/>
      <c r="R18" s="111"/>
      <c r="S18" s="111"/>
      <c r="T18" s="111"/>
    </row>
    <row r="19" spans="1:20" s="114" customFormat="1" ht="21" customHeight="1">
      <c r="A19" s="58" t="s">
        <v>4</v>
      </c>
      <c r="B19" s="59" t="s">
        <v>9</v>
      </c>
      <c r="C19" s="112">
        <f>SUM(D19:H19)</f>
        <v>58467</v>
      </c>
      <c r="D19" s="112">
        <v>24842</v>
      </c>
      <c r="E19" s="112">
        <v>3482</v>
      </c>
      <c r="F19" s="112">
        <v>15266</v>
      </c>
      <c r="G19" s="112">
        <f>5403+1522+500</f>
        <v>7425</v>
      </c>
      <c r="H19" s="112">
        <v>7452</v>
      </c>
      <c r="I19" s="112">
        <f>11528-1000</f>
        <v>10528</v>
      </c>
      <c r="J19" s="107">
        <f>C19+I19-L19</f>
        <v>-13744</v>
      </c>
      <c r="L19" s="107">
        <f>82739</f>
        <v>82739</v>
      </c>
      <c r="M19" s="109">
        <f>L19-C19</f>
        <v>24272</v>
      </c>
      <c r="N19" s="258">
        <f>M19/M22</f>
        <v>0.43771189497222823</v>
      </c>
      <c r="O19" s="79">
        <f>K18*N19</f>
        <v>-11599.365216764048</v>
      </c>
      <c r="P19" s="113"/>
      <c r="Q19" s="115"/>
      <c r="R19" s="113"/>
      <c r="S19" s="113"/>
      <c r="T19" s="113"/>
    </row>
    <row r="20" spans="1:20" s="114" customFormat="1" ht="21" customHeight="1">
      <c r="A20" s="58" t="s">
        <v>10</v>
      </c>
      <c r="B20" s="59" t="s">
        <v>9</v>
      </c>
      <c r="C20" s="112">
        <f>SUM(D20:H20)</f>
        <v>53173</v>
      </c>
      <c r="D20" s="112">
        <v>8265</v>
      </c>
      <c r="E20" s="112">
        <v>1058</v>
      </c>
      <c r="F20" s="112">
        <v>4637</v>
      </c>
      <c r="G20" s="112">
        <f>28445+5889+1000</f>
        <v>35334</v>
      </c>
      <c r="H20" s="112">
        <v>3879</v>
      </c>
      <c r="I20" s="112">
        <v>10584</v>
      </c>
      <c r="J20" s="107">
        <f>C20+I20-L20</f>
        <v>-11839</v>
      </c>
      <c r="L20" s="107">
        <f>75596</f>
        <v>75596</v>
      </c>
      <c r="M20" s="109">
        <f>L20-C20</f>
        <v>22423</v>
      </c>
      <c r="N20" s="258">
        <f>M20/M22</f>
        <v>0.40436774147010024</v>
      </c>
      <c r="O20" s="79">
        <f>K18*N20</f>
        <v>-10715.745148957656</v>
      </c>
      <c r="P20" s="113"/>
      <c r="Q20" s="115"/>
      <c r="R20" s="113"/>
      <c r="S20" s="113"/>
      <c r="T20" s="113"/>
    </row>
    <row r="21" spans="1:20" s="114" customFormat="1" ht="21" customHeight="1">
      <c r="A21" s="58" t="s">
        <v>5</v>
      </c>
      <c r="B21" s="59" t="s">
        <v>9</v>
      </c>
      <c r="C21" s="112">
        <f>SUM(D21:H21)</f>
        <v>84729</v>
      </c>
      <c r="D21" s="112">
        <v>30071</v>
      </c>
      <c r="E21" s="112">
        <v>7012</v>
      </c>
      <c r="F21" s="112">
        <v>30738</v>
      </c>
      <c r="G21" s="112">
        <f>5448+1218+1900</f>
        <v>8566</v>
      </c>
      <c r="H21" s="112">
        <v>8342</v>
      </c>
      <c r="I21" s="112">
        <f>4388+1000</f>
        <v>5388</v>
      </c>
      <c r="J21" s="107">
        <f>C21+I21-L21</f>
        <v>-3369</v>
      </c>
      <c r="L21" s="107">
        <f>93486</f>
        <v>93486</v>
      </c>
      <c r="M21" s="109">
        <f>L21-C21</f>
        <v>8757</v>
      </c>
      <c r="N21" s="258">
        <f>M21/M22</f>
        <v>0.1579203635576715</v>
      </c>
      <c r="O21" s="79">
        <f>K18*N21</f>
        <v>-4184.889634278295</v>
      </c>
      <c r="P21" s="115"/>
      <c r="Q21" s="115"/>
      <c r="R21" s="113"/>
      <c r="S21" s="113"/>
      <c r="T21" s="113"/>
    </row>
    <row r="22" spans="1:20" s="108" customFormat="1" ht="16.5" customHeight="1">
      <c r="A22" s="252" t="s">
        <v>120</v>
      </c>
      <c r="B22" s="59" t="s">
        <v>9</v>
      </c>
      <c r="C22" s="120">
        <f>ROUND(C11*3,0)</f>
        <v>17574</v>
      </c>
      <c r="D22" s="112">
        <v>10146</v>
      </c>
      <c r="E22" s="112">
        <v>1380</v>
      </c>
      <c r="F22" s="112">
        <v>6048</v>
      </c>
      <c r="G22" s="112"/>
      <c r="H22" s="112"/>
      <c r="I22" s="112"/>
      <c r="J22" s="107"/>
      <c r="K22" s="107"/>
      <c r="L22" s="107"/>
      <c r="M22" s="109">
        <f>SUM(M19:M21)</f>
        <v>55452</v>
      </c>
      <c r="N22" s="259"/>
      <c r="O22" s="118"/>
      <c r="P22" s="109"/>
      <c r="Q22" s="111"/>
      <c r="R22" s="111"/>
      <c r="S22" s="111"/>
      <c r="T22" s="111"/>
    </row>
    <row r="23" spans="1:20" s="108" customFormat="1" ht="21" customHeight="1">
      <c r="A23" s="119" t="s">
        <v>65</v>
      </c>
      <c r="B23" s="59" t="s">
        <v>9</v>
      </c>
      <c r="C23" s="120">
        <f>ROUND(C12*3,0)</f>
        <v>16116</v>
      </c>
      <c r="D23" s="112">
        <v>9305</v>
      </c>
      <c r="E23" s="120">
        <v>1265</v>
      </c>
      <c r="F23" s="120">
        <v>5546</v>
      </c>
      <c r="G23" s="120"/>
      <c r="H23" s="120"/>
      <c r="I23" s="60"/>
      <c r="J23" s="107"/>
      <c r="K23" s="107"/>
      <c r="L23" s="163"/>
      <c r="M23" s="107"/>
      <c r="N23" s="258"/>
      <c r="O23" s="107"/>
      <c r="P23" s="111"/>
      <c r="Q23" s="111"/>
      <c r="R23" s="111"/>
      <c r="S23" s="111"/>
      <c r="T23" s="111"/>
    </row>
    <row r="24" spans="1:20" s="108" customFormat="1" ht="21" customHeight="1" thickBot="1">
      <c r="A24" s="121" t="s">
        <v>66</v>
      </c>
      <c r="B24" s="122" t="s">
        <v>9</v>
      </c>
      <c r="C24" s="123">
        <f>ROUND(C13*2.57,0)</f>
        <v>1676</v>
      </c>
      <c r="D24" s="124">
        <v>849</v>
      </c>
      <c r="E24" s="123">
        <v>154</v>
      </c>
      <c r="F24" s="123">
        <v>673</v>
      </c>
      <c r="G24" s="123"/>
      <c r="H24" s="123"/>
      <c r="I24" s="125"/>
      <c r="J24" s="107"/>
      <c r="K24" s="107"/>
      <c r="L24" s="107"/>
      <c r="M24" s="126"/>
      <c r="N24" s="126"/>
      <c r="O24" s="126"/>
      <c r="P24" s="109"/>
      <c r="Q24" s="111"/>
      <c r="R24" s="111"/>
      <c r="S24" s="111"/>
      <c r="T24" s="111"/>
    </row>
    <row r="25" spans="1:12" ht="14.25" customHeight="1" thickBot="1">
      <c r="A25" s="103"/>
      <c r="B25" s="23"/>
      <c r="C25" s="261"/>
      <c r="D25" s="168"/>
      <c r="E25" s="168"/>
      <c r="F25" s="262"/>
      <c r="G25" s="168"/>
      <c r="H25" s="168"/>
      <c r="I25" s="26"/>
      <c r="J25" s="6"/>
      <c r="K25" s="27"/>
      <c r="L25" s="6"/>
    </row>
    <row r="26" spans="1:12" ht="44.25" customHeight="1">
      <c r="A26" s="583" t="s">
        <v>0</v>
      </c>
      <c r="B26" s="585" t="s">
        <v>1</v>
      </c>
      <c r="C26" s="593" t="s">
        <v>45</v>
      </c>
      <c r="D26" s="593" t="s">
        <v>67</v>
      </c>
      <c r="E26" s="593" t="s">
        <v>26</v>
      </c>
      <c r="F26" s="593" t="s">
        <v>40</v>
      </c>
      <c r="G26" s="593" t="s">
        <v>27</v>
      </c>
      <c r="H26" s="593" t="s">
        <v>28</v>
      </c>
      <c r="I26" s="574" t="s">
        <v>37</v>
      </c>
      <c r="J26" s="576" t="s">
        <v>29</v>
      </c>
      <c r="K26" s="6"/>
      <c r="L26" s="6"/>
    </row>
    <row r="27" spans="1:12" ht="87.75" customHeight="1" thickBot="1">
      <c r="A27" s="584"/>
      <c r="B27" s="586"/>
      <c r="C27" s="594"/>
      <c r="D27" s="594"/>
      <c r="E27" s="594"/>
      <c r="F27" s="594"/>
      <c r="G27" s="594"/>
      <c r="H27" s="594"/>
      <c r="I27" s="575"/>
      <c r="J27" s="577"/>
      <c r="K27" s="6"/>
      <c r="L27" s="6"/>
    </row>
    <row r="28" spans="1:10" ht="16.5" customHeight="1" thickBot="1">
      <c r="A28" s="74">
        <v>1</v>
      </c>
      <c r="B28" s="64">
        <v>2</v>
      </c>
      <c r="C28" s="263">
        <v>3</v>
      </c>
      <c r="D28" s="263">
        <v>4</v>
      </c>
      <c r="E28" s="263">
        <v>5</v>
      </c>
      <c r="F28" s="263">
        <v>6</v>
      </c>
      <c r="G28" s="263">
        <v>7</v>
      </c>
      <c r="H28" s="263">
        <v>8</v>
      </c>
      <c r="I28" s="75">
        <v>9</v>
      </c>
      <c r="J28" s="75">
        <v>9</v>
      </c>
    </row>
    <row r="29" spans="1:12" ht="16.5" customHeight="1">
      <c r="A29" s="11" t="s">
        <v>34</v>
      </c>
      <c r="B29" s="76"/>
      <c r="C29" s="264"/>
      <c r="D29" s="264"/>
      <c r="E29" s="264"/>
      <c r="F29" s="264"/>
      <c r="G29" s="264"/>
      <c r="H29" s="264"/>
      <c r="I29" s="77"/>
      <c r="J29" s="77"/>
      <c r="L29" s="164"/>
    </row>
    <row r="30" spans="1:20" s="6" customFormat="1" ht="12" customHeight="1">
      <c r="A30" s="30" t="s">
        <v>35</v>
      </c>
      <c r="B30" s="31" t="s">
        <v>11</v>
      </c>
      <c r="C30" s="253">
        <f>D30+J30</f>
        <v>4.661976736322446</v>
      </c>
      <c r="D30" s="81">
        <f>E30+F30+G30+H30+I30</f>
        <v>3.95</v>
      </c>
      <c r="E30" s="276">
        <f aca="true" t="shared" si="2" ref="E30:E35">ROUND(D19/C8,2)</f>
        <v>1.68</v>
      </c>
      <c r="F30" s="81">
        <f aca="true" t="shared" si="3" ref="F30:F35">ROUND(E19/C8,2)</f>
        <v>0.24</v>
      </c>
      <c r="G30" s="81">
        <f aca="true" t="shared" si="4" ref="G30:G35">ROUND(F19/C8,2)</f>
        <v>1.03</v>
      </c>
      <c r="H30" s="81">
        <f>ROUND(G19/C8,2)</f>
        <v>0.5</v>
      </c>
      <c r="I30" s="81">
        <f>ROUND(H19/C8,2)</f>
        <v>0.5</v>
      </c>
      <c r="J30" s="81">
        <f>I19/C8</f>
        <v>0.7119767363224454</v>
      </c>
      <c r="K30" s="86"/>
      <c r="L30" s="86"/>
      <c r="M30" s="89"/>
      <c r="N30" s="90"/>
      <c r="O30" s="35"/>
      <c r="P30" s="35"/>
      <c r="Q30" s="88"/>
      <c r="R30" s="35"/>
      <c r="S30" s="35"/>
      <c r="T30" s="35"/>
    </row>
    <row r="31" spans="1:20" s="6" customFormat="1" ht="12" customHeight="1">
      <c r="A31" s="13" t="s">
        <v>36</v>
      </c>
      <c r="B31" s="4" t="s">
        <v>11</v>
      </c>
      <c r="C31" s="253">
        <f>D31+J31</f>
        <v>14.19618878005343</v>
      </c>
      <c r="D31" s="81">
        <f>E31+F31+G31+H31+I31</f>
        <v>11.84</v>
      </c>
      <c r="E31" s="276">
        <f t="shared" si="2"/>
        <v>1.84</v>
      </c>
      <c r="F31" s="81">
        <f t="shared" si="3"/>
        <v>0.24</v>
      </c>
      <c r="G31" s="81">
        <f t="shared" si="4"/>
        <v>1.03</v>
      </c>
      <c r="H31" s="81">
        <f>ROUND(G20/C9,2)</f>
        <v>7.87</v>
      </c>
      <c r="I31" s="81">
        <f>ROUND(H20/C9,2)</f>
        <v>0.86</v>
      </c>
      <c r="J31" s="81">
        <f>I20/C9</f>
        <v>2.3561887800534285</v>
      </c>
      <c r="K31" s="86"/>
      <c r="L31" s="27"/>
      <c r="M31" s="89"/>
      <c r="N31" s="35"/>
      <c r="O31" s="35"/>
      <c r="P31" s="35"/>
      <c r="Q31" s="90"/>
      <c r="R31" s="35"/>
      <c r="S31" s="35"/>
      <c r="T31" s="35"/>
    </row>
    <row r="32" spans="1:20" s="6" customFormat="1" ht="12" customHeight="1">
      <c r="A32" s="13" t="str">
        <f>A21</f>
        <v>"Столичен автотранспорт" ЕАД</v>
      </c>
      <c r="B32" s="4" t="s">
        <v>11</v>
      </c>
      <c r="C32" s="253">
        <f>D32+J32</f>
        <v>3.03096933463205</v>
      </c>
      <c r="D32" s="81">
        <f>E32+F32+G32+H32+I32</f>
        <v>2.8500000000000005</v>
      </c>
      <c r="E32" s="276">
        <f t="shared" si="2"/>
        <v>1.01</v>
      </c>
      <c r="F32" s="81">
        <f t="shared" si="3"/>
        <v>0.24</v>
      </c>
      <c r="G32" s="81">
        <f t="shared" si="4"/>
        <v>1.03</v>
      </c>
      <c r="H32" s="81">
        <f>ROUND(G21/C10,2)</f>
        <v>0.29</v>
      </c>
      <c r="I32" s="81">
        <f>ROUND(H21/C10,2)</f>
        <v>0.28</v>
      </c>
      <c r="J32" s="81">
        <f>I21/C10</f>
        <v>0.18096933463204917</v>
      </c>
      <c r="K32" s="86"/>
      <c r="L32" s="27"/>
      <c r="M32" s="89"/>
      <c r="N32" s="35"/>
      <c r="O32" s="35"/>
      <c r="P32" s="35"/>
      <c r="Q32" s="90"/>
      <c r="R32" s="35"/>
      <c r="S32" s="35"/>
      <c r="T32" s="35"/>
    </row>
    <row r="33" spans="1:20" s="6" customFormat="1" ht="12" customHeight="1">
      <c r="A33" s="13" t="str">
        <f>A22</f>
        <v>"MTK Гроуп" ООД</v>
      </c>
      <c r="B33" s="4" t="s">
        <v>11</v>
      </c>
      <c r="C33" s="33">
        <v>3</v>
      </c>
      <c r="D33" s="81">
        <v>3</v>
      </c>
      <c r="E33" s="81">
        <f t="shared" si="2"/>
        <v>1.73</v>
      </c>
      <c r="F33" s="81">
        <f t="shared" si="3"/>
        <v>0.24</v>
      </c>
      <c r="G33" s="81">
        <f t="shared" si="4"/>
        <v>1.03</v>
      </c>
      <c r="H33" s="265"/>
      <c r="I33" s="14"/>
      <c r="J33" s="14"/>
      <c r="M33" s="89"/>
      <c r="N33" s="35"/>
      <c r="O33" s="35"/>
      <c r="P33" s="35"/>
      <c r="Q33" s="35"/>
      <c r="R33" s="35"/>
      <c r="S33" s="35"/>
      <c r="T33" s="35"/>
    </row>
    <row r="34" spans="1:13" ht="12" customHeight="1">
      <c r="A34" s="30" t="s">
        <v>65</v>
      </c>
      <c r="B34" s="31" t="s">
        <v>11</v>
      </c>
      <c r="C34" s="266" t="s">
        <v>95</v>
      </c>
      <c r="D34" s="266" t="s">
        <v>95</v>
      </c>
      <c r="E34" s="81">
        <f t="shared" si="2"/>
        <v>1.73</v>
      </c>
      <c r="F34" s="81">
        <f t="shared" si="3"/>
        <v>0.24</v>
      </c>
      <c r="G34" s="81">
        <f t="shared" si="4"/>
        <v>1.03</v>
      </c>
      <c r="H34" s="267"/>
      <c r="I34" s="32"/>
      <c r="J34" s="32"/>
      <c r="M34" s="89"/>
    </row>
    <row r="35" spans="1:13" ht="12" customHeight="1" thickBot="1">
      <c r="A35" s="127" t="s">
        <v>6</v>
      </c>
      <c r="B35" s="10" t="s">
        <v>11</v>
      </c>
      <c r="C35" s="268">
        <v>2.57</v>
      </c>
      <c r="D35" s="82">
        <v>2.57</v>
      </c>
      <c r="E35" s="82">
        <f t="shared" si="2"/>
        <v>1.3</v>
      </c>
      <c r="F35" s="82">
        <f t="shared" si="3"/>
        <v>0.24</v>
      </c>
      <c r="G35" s="82">
        <f t="shared" si="4"/>
        <v>1.03</v>
      </c>
      <c r="H35" s="269"/>
      <c r="I35" s="34"/>
      <c r="J35" s="34"/>
      <c r="M35" s="89"/>
    </row>
    <row r="36" spans="1:8" ht="14.25" customHeight="1" thickBot="1">
      <c r="A36" s="15"/>
      <c r="B36" s="16"/>
      <c r="C36" s="270"/>
      <c r="D36" s="168"/>
      <c r="E36" s="168"/>
      <c r="F36" s="168"/>
      <c r="G36" s="168"/>
      <c r="H36" s="168"/>
    </row>
    <row r="37" spans="1:8" ht="19.5" customHeight="1">
      <c r="A37" s="17" t="s">
        <v>12</v>
      </c>
      <c r="B37" s="18" t="s">
        <v>9</v>
      </c>
      <c r="C37" s="271">
        <f>C38+C40+C43+C45</f>
        <v>231735</v>
      </c>
      <c r="D37" s="272"/>
      <c r="E37" s="168" t="s">
        <v>17</v>
      </c>
      <c r="F37" s="273"/>
      <c r="G37" s="168"/>
      <c r="H37" s="168"/>
    </row>
    <row r="38" spans="1:9" ht="16.5" customHeight="1">
      <c r="A38" s="58" t="s">
        <v>18</v>
      </c>
      <c r="B38" s="59" t="s">
        <v>9</v>
      </c>
      <c r="C38" s="120">
        <f>C39</f>
        <v>83478</v>
      </c>
      <c r="D38" s="274"/>
      <c r="E38" s="168"/>
      <c r="F38" s="168"/>
      <c r="G38" s="168"/>
      <c r="H38" s="168"/>
      <c r="I38" s="57"/>
    </row>
    <row r="39" spans="1:9" ht="12.75" customHeight="1">
      <c r="A39" s="8" t="s">
        <v>19</v>
      </c>
      <c r="B39" s="4" t="s">
        <v>9</v>
      </c>
      <c r="C39" s="275">
        <v>83478</v>
      </c>
      <c r="D39" s="183"/>
      <c r="E39" s="168"/>
      <c r="F39" s="168"/>
      <c r="G39" s="168"/>
      <c r="H39" s="168"/>
      <c r="I39" s="57"/>
    </row>
    <row r="40" spans="1:9" ht="12.75" customHeight="1">
      <c r="A40" s="3" t="s">
        <v>13</v>
      </c>
      <c r="B40" s="4" t="s">
        <v>9</v>
      </c>
      <c r="C40" s="280">
        <f>C41</f>
        <v>62908</v>
      </c>
      <c r="D40" s="261"/>
      <c r="E40" s="168"/>
      <c r="F40" s="168"/>
      <c r="G40" s="168"/>
      <c r="H40" s="168"/>
      <c r="I40" s="57"/>
    </row>
    <row r="41" spans="1:9" ht="12" customHeight="1">
      <c r="A41" s="9" t="s">
        <v>31</v>
      </c>
      <c r="B41" s="4" t="s">
        <v>9</v>
      </c>
      <c r="C41" s="281">
        <v>62908</v>
      </c>
      <c r="D41" s="80"/>
      <c r="I41" s="57"/>
    </row>
    <row r="42" spans="1:9" ht="12" customHeight="1" hidden="1">
      <c r="A42" s="9" t="s">
        <v>14</v>
      </c>
      <c r="B42" s="4" t="s">
        <v>9</v>
      </c>
      <c r="C42" s="19"/>
      <c r="D42" s="80"/>
      <c r="I42" s="57"/>
    </row>
    <row r="43" spans="1:9" ht="13.5" customHeight="1">
      <c r="A43" s="3" t="s">
        <v>15</v>
      </c>
      <c r="B43" s="4" t="s">
        <v>9</v>
      </c>
      <c r="C43" s="5">
        <f>C44</f>
        <v>14351</v>
      </c>
      <c r="D43" s="25"/>
      <c r="I43" s="57"/>
    </row>
    <row r="44" spans="1:9" ht="12" customHeight="1">
      <c r="A44" s="8" t="s">
        <v>42</v>
      </c>
      <c r="B44" s="4" t="s">
        <v>9</v>
      </c>
      <c r="C44" s="12">
        <v>14351</v>
      </c>
      <c r="D44" s="24"/>
      <c r="F44" s="254"/>
      <c r="I44" s="57"/>
    </row>
    <row r="45" spans="1:9" ht="15" customHeight="1">
      <c r="A45" s="3" t="s">
        <v>16</v>
      </c>
      <c r="B45" s="4" t="s">
        <v>9</v>
      </c>
      <c r="C45" s="5">
        <f>C46+C47+C48</f>
        <v>70998</v>
      </c>
      <c r="D45" s="25"/>
      <c r="H45" s="254"/>
      <c r="I45" s="57"/>
    </row>
    <row r="46" spans="1:20" s="6" customFormat="1" ht="12" customHeight="1">
      <c r="A46" s="20" t="s">
        <v>4</v>
      </c>
      <c r="B46" s="4" t="s">
        <v>9</v>
      </c>
      <c r="C46" s="12">
        <f>+G19+H19</f>
        <v>14877</v>
      </c>
      <c r="D46" s="24"/>
      <c r="F46" s="37"/>
      <c r="M46" s="35"/>
      <c r="N46" s="35"/>
      <c r="O46" s="35"/>
      <c r="P46" s="35"/>
      <c r="Q46" s="35"/>
      <c r="R46" s="35"/>
      <c r="S46" s="35"/>
      <c r="T46" s="35"/>
    </row>
    <row r="47" spans="1:20" s="6" customFormat="1" ht="12" customHeight="1">
      <c r="A47" s="20" t="s">
        <v>5</v>
      </c>
      <c r="B47" s="4" t="s">
        <v>9</v>
      </c>
      <c r="C47" s="12">
        <f>+G21+H21</f>
        <v>16908</v>
      </c>
      <c r="D47" s="24"/>
      <c r="F47" s="255"/>
      <c r="M47" s="35"/>
      <c r="N47" s="35"/>
      <c r="O47" s="35"/>
      <c r="P47" s="35"/>
      <c r="Q47" s="35"/>
      <c r="R47" s="35"/>
      <c r="S47" s="35"/>
      <c r="T47" s="35"/>
    </row>
    <row r="48" spans="1:20" s="6" customFormat="1" ht="12" customHeight="1" thickBot="1">
      <c r="A48" s="21" t="s">
        <v>10</v>
      </c>
      <c r="B48" s="10" t="s">
        <v>9</v>
      </c>
      <c r="C48" s="40">
        <f>+G20+H20</f>
        <v>39213</v>
      </c>
      <c r="D48" s="24"/>
      <c r="G48" s="38"/>
      <c r="H48" s="256"/>
      <c r="M48" s="35"/>
      <c r="N48" s="35"/>
      <c r="O48" s="35"/>
      <c r="P48" s="35"/>
      <c r="Q48" s="35"/>
      <c r="R48" s="35"/>
      <c r="S48" s="35"/>
      <c r="T48" s="35"/>
    </row>
    <row r="49" spans="1:20" s="6" customFormat="1" ht="12" customHeight="1" thickBot="1">
      <c r="A49" s="16"/>
      <c r="B49" s="23"/>
      <c r="C49" s="24"/>
      <c r="D49" s="24"/>
      <c r="G49" s="38"/>
      <c r="H49" s="256"/>
      <c r="M49" s="35"/>
      <c r="N49" s="35"/>
      <c r="O49" s="35"/>
      <c r="P49" s="35"/>
      <c r="Q49" s="35"/>
      <c r="R49" s="35"/>
      <c r="S49" s="35"/>
      <c r="T49" s="35"/>
    </row>
    <row r="50" spans="1:20" s="6" customFormat="1" ht="27.75" customHeight="1">
      <c r="A50" s="283" t="s">
        <v>124</v>
      </c>
      <c r="B50" s="284"/>
      <c r="C50" s="285"/>
      <c r="D50" s="24"/>
      <c r="G50" s="38"/>
      <c r="H50" s="256"/>
      <c r="M50" s="35"/>
      <c r="N50" s="35"/>
      <c r="O50" s="35"/>
      <c r="P50" s="35"/>
      <c r="Q50" s="35"/>
      <c r="R50" s="35"/>
      <c r="S50" s="35"/>
      <c r="T50" s="35"/>
    </row>
    <row r="51" spans="1:20" s="6" customFormat="1" ht="28.5" customHeight="1">
      <c r="A51" s="286" t="s">
        <v>55</v>
      </c>
      <c r="B51" s="287" t="s">
        <v>9</v>
      </c>
      <c r="C51" s="288">
        <f>54605-C52-C53</f>
        <v>36605</v>
      </c>
      <c r="D51" s="24"/>
      <c r="G51" s="38"/>
      <c r="H51" s="256"/>
      <c r="M51" s="35"/>
      <c r="N51" s="35"/>
      <c r="O51" s="35"/>
      <c r="P51" s="35"/>
      <c r="Q51" s="35"/>
      <c r="R51" s="35"/>
      <c r="S51" s="35"/>
      <c r="T51" s="35"/>
    </row>
    <row r="52" spans="1:20" s="6" customFormat="1" ht="28.5" customHeight="1">
      <c r="A52" s="286" t="s">
        <v>56</v>
      </c>
      <c r="B52" s="59" t="s">
        <v>9</v>
      </c>
      <c r="C52" s="85">
        <v>13000</v>
      </c>
      <c r="D52" s="24"/>
      <c r="G52" s="38"/>
      <c r="H52" s="256"/>
      <c r="M52" s="35"/>
      <c r="N52" s="35"/>
      <c r="O52" s="35"/>
      <c r="P52" s="35"/>
      <c r="Q52" s="35"/>
      <c r="R52" s="35"/>
      <c r="S52" s="35"/>
      <c r="T52" s="35"/>
    </row>
    <row r="53" spans="1:20" s="6" customFormat="1" ht="15">
      <c r="A53" s="286" t="s">
        <v>126</v>
      </c>
      <c r="B53" s="59" t="s">
        <v>9</v>
      </c>
      <c r="C53" s="85">
        <f>5000</f>
        <v>5000</v>
      </c>
      <c r="D53" s="24"/>
      <c r="G53" s="38"/>
      <c r="H53" s="256"/>
      <c r="M53" s="35"/>
      <c r="N53" s="35"/>
      <c r="O53" s="35"/>
      <c r="P53" s="35"/>
      <c r="Q53" s="35"/>
      <c r="R53" s="35"/>
      <c r="S53" s="35"/>
      <c r="T53" s="35"/>
    </row>
    <row r="54" spans="1:20" s="6" customFormat="1" ht="28.5" customHeight="1">
      <c r="A54" s="289" t="s">
        <v>125</v>
      </c>
      <c r="B54" s="59" t="s">
        <v>9</v>
      </c>
      <c r="C54" s="290">
        <v>22297</v>
      </c>
      <c r="D54" s="24"/>
      <c r="E54" s="27"/>
      <c r="G54" s="38"/>
      <c r="H54" s="256"/>
      <c r="M54" s="35"/>
      <c r="N54" s="35"/>
      <c r="O54" s="35"/>
      <c r="P54" s="35"/>
      <c r="Q54" s="35"/>
      <c r="R54" s="35"/>
      <c r="S54" s="35"/>
      <c r="T54" s="35"/>
    </row>
    <row r="55" spans="1:20" s="6" customFormat="1" ht="28.5" customHeight="1">
      <c r="A55" s="289" t="s">
        <v>44</v>
      </c>
      <c r="B55" s="59" t="s">
        <v>9</v>
      </c>
      <c r="C55" s="290">
        <v>2200</v>
      </c>
      <c r="D55" s="24"/>
      <c r="G55" s="38"/>
      <c r="H55" s="256"/>
      <c r="M55" s="35"/>
      <c r="N55" s="35"/>
      <c r="O55" s="35"/>
      <c r="P55" s="35"/>
      <c r="Q55" s="35"/>
      <c r="R55" s="35"/>
      <c r="S55" s="35"/>
      <c r="T55" s="35"/>
    </row>
    <row r="56" spans="1:20" s="6" customFormat="1" ht="28.5" customHeight="1" thickBot="1">
      <c r="A56" s="291" t="s">
        <v>53</v>
      </c>
      <c r="B56" s="292"/>
      <c r="C56" s="293">
        <v>32832</v>
      </c>
      <c r="D56" s="24"/>
      <c r="G56" s="38"/>
      <c r="H56" s="256"/>
      <c r="M56" s="35"/>
      <c r="N56" s="35"/>
      <c r="O56" s="35"/>
      <c r="P56" s="35"/>
      <c r="Q56" s="35"/>
      <c r="R56" s="35"/>
      <c r="S56" s="35"/>
      <c r="T56" s="35"/>
    </row>
    <row r="57" spans="1:20" s="6" customFormat="1" ht="12" customHeight="1" thickBot="1">
      <c r="A57" s="16"/>
      <c r="B57" s="23"/>
      <c r="C57" s="24"/>
      <c r="D57" s="24"/>
      <c r="G57" s="38"/>
      <c r="H57" s="256"/>
      <c r="M57" s="35"/>
      <c r="N57" s="35"/>
      <c r="O57" s="35"/>
      <c r="P57" s="35"/>
      <c r="Q57" s="35"/>
      <c r="R57" s="35"/>
      <c r="S57" s="35"/>
      <c r="T57" s="35"/>
    </row>
    <row r="58" spans="1:20" s="168" customFormat="1" ht="21.75" customHeight="1" thickBot="1">
      <c r="A58" s="196" t="s">
        <v>127</v>
      </c>
      <c r="B58" s="198" t="s">
        <v>9</v>
      </c>
      <c r="C58" s="197">
        <f>C18-C37</f>
        <v>0</v>
      </c>
      <c r="K58" s="169"/>
      <c r="M58" s="170"/>
      <c r="N58" s="170"/>
      <c r="O58" s="170"/>
      <c r="P58" s="170"/>
      <c r="Q58" s="170"/>
      <c r="R58" s="170"/>
      <c r="S58" s="170"/>
      <c r="T58" s="170"/>
    </row>
    <row r="59" spans="1:4" s="170" customFormat="1" ht="11.25" customHeight="1">
      <c r="A59" s="181"/>
      <c r="B59" s="182"/>
      <c r="C59" s="183"/>
      <c r="D59" s="183"/>
    </row>
    <row r="60" spans="1:4" s="170" customFormat="1" ht="11.25" customHeight="1">
      <c r="A60" s="181"/>
      <c r="B60" s="182"/>
      <c r="C60" s="183"/>
      <c r="D60" s="183"/>
    </row>
    <row r="61" spans="1:208" s="170" customFormat="1" ht="15" customHeight="1" thickBot="1">
      <c r="A61" s="43"/>
      <c r="B61" s="43"/>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row>
    <row r="62" spans="1:20" s="168" customFormat="1" ht="38.25" customHeight="1" thickBot="1">
      <c r="A62" s="184" t="s">
        <v>128</v>
      </c>
      <c r="B62" s="185" t="s">
        <v>9</v>
      </c>
      <c r="C62" s="186">
        <f>C63+C64</f>
        <v>26500</v>
      </c>
      <c r="E62" s="187" t="s">
        <v>50</v>
      </c>
      <c r="G62" s="188"/>
      <c r="H62" s="188"/>
      <c r="M62" s="170"/>
      <c r="N62" s="170"/>
      <c r="O62" s="170"/>
      <c r="P62" s="170"/>
      <c r="Q62" s="170"/>
      <c r="R62" s="170"/>
      <c r="S62" s="170"/>
      <c r="T62" s="170"/>
    </row>
    <row r="63" spans="1:208" s="170" customFormat="1" ht="14.25" customHeight="1">
      <c r="A63" s="189" t="s">
        <v>68</v>
      </c>
      <c r="B63" s="190" t="s">
        <v>9</v>
      </c>
      <c r="C63" s="191">
        <v>8500</v>
      </c>
      <c r="D63" s="44"/>
      <c r="E63" s="44"/>
      <c r="F63" s="44" t="s">
        <v>51</v>
      </c>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row>
    <row r="64" spans="1:208" s="170" customFormat="1" ht="14.25" customHeight="1" thickBot="1">
      <c r="A64" s="192" t="s">
        <v>30</v>
      </c>
      <c r="B64" s="193" t="s">
        <v>9</v>
      </c>
      <c r="C64" s="194">
        <v>18000</v>
      </c>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row>
    <row r="65" spans="1:208" s="170" customFormat="1" ht="14.25" customHeight="1">
      <c r="A65" s="43"/>
      <c r="B65" s="43"/>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row>
    <row r="66" spans="1:208" s="26" customFormat="1" ht="16.5" customHeight="1">
      <c r="A66" s="43"/>
      <c r="B66" s="43"/>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row>
    <row r="67" spans="1:208" s="26" customFormat="1" ht="66.75" customHeight="1">
      <c r="A67" s="596"/>
      <c r="B67" s="596"/>
      <c r="C67" s="596"/>
      <c r="D67" s="596"/>
      <c r="E67" s="596"/>
      <c r="F67" s="596"/>
      <c r="G67" s="596"/>
      <c r="H67" s="596"/>
      <c r="I67" s="596"/>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row>
    <row r="68" spans="1:208" s="26" customFormat="1" ht="18" customHeight="1">
      <c r="A68" s="572"/>
      <c r="B68" s="57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row>
    <row r="69" spans="1:3" s="26" customFormat="1" ht="12.75">
      <c r="A69" s="46"/>
      <c r="B69" s="45"/>
      <c r="C69" s="50"/>
    </row>
    <row r="70" spans="1:3" s="26" customFormat="1" ht="15">
      <c r="A70" s="43"/>
      <c r="B70" s="43"/>
      <c r="C70" s="50"/>
    </row>
    <row r="71" spans="1:3" s="26" customFormat="1" ht="15">
      <c r="A71" s="43"/>
      <c r="B71" s="44"/>
      <c r="C71" s="87"/>
    </row>
    <row r="72" spans="1:3" s="26" customFormat="1" ht="15">
      <c r="A72" s="48"/>
      <c r="B72" s="49"/>
      <c r="C72" s="149"/>
    </row>
    <row r="73" spans="1:3" s="26" customFormat="1" ht="15">
      <c r="A73" s="48"/>
      <c r="B73" s="49"/>
      <c r="C73" s="150"/>
    </row>
    <row r="74" spans="1:2" s="26" customFormat="1" ht="15">
      <c r="A74" s="43"/>
      <c r="B74" s="43"/>
    </row>
    <row r="75" spans="1:3" s="26" customFormat="1" ht="14.25">
      <c r="A75" s="573"/>
      <c r="B75" s="573"/>
      <c r="C75" s="87"/>
    </row>
    <row r="76" spans="1:3" s="26" customFormat="1" ht="12.75">
      <c r="A76" s="151"/>
      <c r="C76" s="152"/>
    </row>
    <row r="77" s="26" customFormat="1" ht="12.75"/>
    <row r="78" s="26" customFormat="1" ht="12.75"/>
  </sheetData>
  <sheetProtection/>
  <mergeCells count="20">
    <mergeCell ref="J26:J27"/>
    <mergeCell ref="A67:I67"/>
    <mergeCell ref="A68:B68"/>
    <mergeCell ref="A75:B75"/>
    <mergeCell ref="L17:L18"/>
    <mergeCell ref="A26:A27"/>
    <mergeCell ref="B26:B27"/>
    <mergeCell ref="C26:C27"/>
    <mergeCell ref="D26:D27"/>
    <mergeCell ref="E26:E27"/>
    <mergeCell ref="F26:F27"/>
    <mergeCell ref="G26:G27"/>
    <mergeCell ref="H26:H27"/>
    <mergeCell ref="I26:I27"/>
    <mergeCell ref="A1:D1"/>
    <mergeCell ref="G1:J5"/>
    <mergeCell ref="A2:D2"/>
    <mergeCell ref="A4:D4"/>
    <mergeCell ref="C6:D6"/>
    <mergeCell ref="J17:J18"/>
  </mergeCells>
  <printOptions/>
  <pageMargins left="0" right="0" top="0.7480314960629921" bottom="0.7480314960629921" header="0.31496062992125984" footer="0.31496062992125984"/>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MSUser</dc:creator>
  <cp:keywords/>
  <dc:description/>
  <cp:lastModifiedBy>Rosinka.Lazarova</cp:lastModifiedBy>
  <cp:lastPrinted>2024-03-12T13:44:05Z</cp:lastPrinted>
  <dcterms:created xsi:type="dcterms:W3CDTF">2010-08-18T05:49:28Z</dcterms:created>
  <dcterms:modified xsi:type="dcterms:W3CDTF">2024-03-15T14:32:33Z</dcterms:modified>
  <cp:category/>
  <cp:version/>
  <cp:contentType/>
  <cp:contentStatus/>
</cp:coreProperties>
</file>